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D:\Users\Ana Branco\Desktop\"/>
    </mc:Choice>
  </mc:AlternateContent>
  <xr:revisionPtr revIDLastSave="0" documentId="13_ncr:1_{7C404B73-B11C-4C9B-80E9-67F3830D979B}" xr6:coauthVersionLast="47" xr6:coauthVersionMax="47" xr10:uidLastSave="{00000000-0000-0000-0000-000000000000}"/>
  <bookViews>
    <workbookView xWindow="-110" yWindow="-110" windowWidth="38620" windowHeight="21360" tabRatio="919" xr2:uid="{00000000-000D-0000-FFFF-FFFF00000000}"/>
  </bookViews>
  <sheets>
    <sheet name="RECIBOS" sheetId="33" r:id="rId1"/>
    <sheet name="ANEXO A" sheetId="17" state="hidden" r:id="rId2"/>
    <sheet name="ANEXO B" sheetId="34" state="hidden" r:id="rId3"/>
    <sheet name="ANEXO C" sheetId="26" state="hidden" r:id="rId4"/>
    <sheet name="ANEXO D" sheetId="27" state="hidden" r:id="rId5"/>
    <sheet name="ANEXO F" sheetId="28" state="hidden" r:id="rId6"/>
    <sheet name="ANEXO H" sheetId="35" state="hidden" r:id="rId7"/>
    <sheet name="ANEXO J" sheetId="29" state="hidden" r:id="rId8"/>
  </sheets>
  <definedNames>
    <definedName name="_xlnm._FilterDatabase" localSheetId="0" hidden="1">RECIBOS!$T$1:$T$1524</definedName>
    <definedName name="_xlnm.Print_Area" localSheetId="0">RECIBOS!$B$1:$BA$69</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33" l="1"/>
  <c r="I14" i="33"/>
  <c r="F41" i="33" l="1"/>
  <c r="G41" i="33"/>
  <c r="F42" i="33"/>
  <c r="G42" i="33"/>
  <c r="F43" i="33"/>
  <c r="G43" i="33"/>
  <c r="F44" i="33"/>
  <c r="G44" i="33"/>
  <c r="F45" i="33"/>
  <c r="G45" i="33"/>
  <c r="B46" i="33"/>
  <c r="F46" i="33"/>
  <c r="G46" i="33"/>
  <c r="H46" i="33"/>
  <c r="B47" i="33"/>
  <c r="F47" i="33"/>
  <c r="G47" i="33"/>
  <c r="H47" i="33"/>
  <c r="B48" i="33"/>
  <c r="F48" i="33"/>
  <c r="G48" i="33"/>
  <c r="F49" i="33"/>
  <c r="G49" i="33"/>
  <c r="H49" i="33" s="1"/>
  <c r="B49" i="33" s="1"/>
  <c r="F50" i="33"/>
  <c r="G50" i="33"/>
  <c r="H50" i="33" s="1"/>
  <c r="B50" i="33" s="1"/>
  <c r="F51" i="33"/>
  <c r="G51" i="33"/>
  <c r="U737" i="33" l="1"/>
  <c r="U738" i="33"/>
  <c r="U739" i="33"/>
  <c r="I6" i="33" l="1"/>
  <c r="F10" i="35" l="1"/>
  <c r="M8" i="35"/>
  <c r="I2" i="34" l="1"/>
  <c r="D2" i="34"/>
  <c r="D13" i="34" s="1"/>
  <c r="S1523" i="33" l="1"/>
  <c r="R1523" i="33"/>
  <c r="Q1523" i="33"/>
  <c r="P1523" i="33"/>
  <c r="O1523" i="33"/>
  <c r="N1523" i="33"/>
  <c r="Z1492" i="33"/>
  <c r="Y1492" i="33"/>
  <c r="X1492" i="33"/>
  <c r="W1492" i="33"/>
  <c r="V1492" i="33"/>
  <c r="U1492" i="33"/>
  <c r="U1491" i="33"/>
  <c r="U1489" i="33"/>
  <c r="S1485" i="33"/>
  <c r="R1485" i="33"/>
  <c r="Q1485" i="33"/>
  <c r="P1485" i="33"/>
  <c r="O1485" i="33"/>
  <c r="N1485" i="33"/>
  <c r="Z1455" i="33"/>
  <c r="Y1455" i="33"/>
  <c r="X1455" i="33"/>
  <c r="W1455" i="33"/>
  <c r="V1455" i="33"/>
  <c r="U1455" i="33"/>
  <c r="U1454" i="33"/>
  <c r="U1452" i="33"/>
  <c r="S1448" i="33"/>
  <c r="R1448" i="33"/>
  <c r="Q1448" i="33"/>
  <c r="P1448" i="33"/>
  <c r="O1448" i="33"/>
  <c r="N1448" i="33"/>
  <c r="Z1417" i="33"/>
  <c r="Y1417" i="33"/>
  <c r="X1417" i="33"/>
  <c r="W1417" i="33"/>
  <c r="V1417" i="33"/>
  <c r="U1417" i="33"/>
  <c r="U1416" i="33"/>
  <c r="U1414" i="33"/>
  <c r="S1410" i="33"/>
  <c r="R1410" i="33"/>
  <c r="Q1410" i="33"/>
  <c r="P1410" i="33"/>
  <c r="O1410" i="33"/>
  <c r="N1410" i="33"/>
  <c r="Z1371" i="33"/>
  <c r="Y1371" i="33"/>
  <c r="X1371" i="33"/>
  <c r="W1371" i="33"/>
  <c r="V1371" i="33"/>
  <c r="U1371" i="33"/>
  <c r="U1370" i="33"/>
  <c r="U1368" i="33"/>
  <c r="S1364" i="33"/>
  <c r="R1364" i="33"/>
  <c r="Q1364" i="33"/>
  <c r="P1364" i="33"/>
  <c r="O1364" i="33"/>
  <c r="N1364" i="33"/>
  <c r="Z1326" i="33"/>
  <c r="Y1326" i="33"/>
  <c r="X1326" i="33"/>
  <c r="W1326" i="33"/>
  <c r="V1326" i="33"/>
  <c r="U1326" i="33"/>
  <c r="U1325" i="33"/>
  <c r="U1323" i="33"/>
  <c r="S1319" i="33"/>
  <c r="R1319" i="33"/>
  <c r="Q1319" i="33"/>
  <c r="P1319" i="33"/>
  <c r="O1319" i="33"/>
  <c r="Z1280" i="33"/>
  <c r="Y1280" i="33"/>
  <c r="X1280" i="33"/>
  <c r="W1280" i="33"/>
  <c r="V1280" i="33"/>
  <c r="U1280" i="33"/>
  <c r="U1279" i="33"/>
  <c r="U1277" i="33"/>
  <c r="S1271" i="33"/>
  <c r="R1271" i="33"/>
  <c r="Q1271" i="33"/>
  <c r="P1271" i="33"/>
  <c r="O1271" i="33"/>
  <c r="N1271" i="33"/>
  <c r="Z1240" i="33"/>
  <c r="Y1240" i="33"/>
  <c r="X1240" i="33"/>
  <c r="W1240" i="33"/>
  <c r="V1240" i="33"/>
  <c r="U1240" i="33"/>
  <c r="U1239" i="33"/>
  <c r="U1237" i="33"/>
  <c r="S1233" i="33"/>
  <c r="R1233" i="33"/>
  <c r="Q1233" i="33"/>
  <c r="P1233" i="33"/>
  <c r="O1233" i="33"/>
  <c r="N1233" i="33"/>
  <c r="Z1203" i="33"/>
  <c r="Y1203" i="33"/>
  <c r="X1203" i="33"/>
  <c r="W1203" i="33"/>
  <c r="V1203" i="33"/>
  <c r="U1203" i="33"/>
  <c r="U1202" i="33"/>
  <c r="U1200" i="33"/>
  <c r="S1196" i="33"/>
  <c r="R1196" i="33"/>
  <c r="Q1196" i="33"/>
  <c r="P1196" i="33"/>
  <c r="O1196" i="33"/>
  <c r="N1196" i="33"/>
  <c r="Z1165" i="33"/>
  <c r="Y1165" i="33"/>
  <c r="X1165" i="33"/>
  <c r="W1165" i="33"/>
  <c r="V1165" i="33"/>
  <c r="U1165" i="33"/>
  <c r="U1164" i="33"/>
  <c r="U1162" i="33"/>
  <c r="S1158" i="33"/>
  <c r="R1158" i="33"/>
  <c r="Q1158" i="33"/>
  <c r="P1158" i="33"/>
  <c r="O1158" i="33"/>
  <c r="N1158" i="33"/>
  <c r="Z1119" i="33"/>
  <c r="Y1119" i="33"/>
  <c r="X1119" i="33"/>
  <c r="W1119" i="33"/>
  <c r="V1119" i="33"/>
  <c r="U1119" i="33"/>
  <c r="U1118" i="33"/>
  <c r="U1116" i="33"/>
  <c r="S1112" i="33"/>
  <c r="R1112" i="33"/>
  <c r="Q1112" i="33"/>
  <c r="P1112" i="33"/>
  <c r="O1112" i="33"/>
  <c r="N1112" i="33"/>
  <c r="Z1074" i="33"/>
  <c r="Y1074" i="33"/>
  <c r="X1074" i="33"/>
  <c r="W1074" i="33"/>
  <c r="V1074" i="33"/>
  <c r="U1074" i="33"/>
  <c r="U1073" i="33"/>
  <c r="U1071" i="33"/>
  <c r="S1067" i="33"/>
  <c r="R1067" i="33"/>
  <c r="Q1067" i="33"/>
  <c r="P1067" i="33"/>
  <c r="O1067" i="33"/>
  <c r="N1067" i="33"/>
  <c r="Z1028" i="33"/>
  <c r="Y1028" i="33"/>
  <c r="X1028" i="33"/>
  <c r="W1028" i="33"/>
  <c r="V1028" i="33"/>
  <c r="U1028" i="33"/>
  <c r="U1027" i="33"/>
  <c r="U1025" i="33"/>
  <c r="S1021" i="33"/>
  <c r="R1021" i="33"/>
  <c r="Q1021" i="33"/>
  <c r="P1021" i="33"/>
  <c r="O1021" i="33"/>
  <c r="N1021" i="33"/>
  <c r="Z990" i="33"/>
  <c r="Y990" i="33"/>
  <c r="X990" i="33"/>
  <c r="W990" i="33"/>
  <c r="V990" i="33"/>
  <c r="U990" i="33"/>
  <c r="U989" i="33"/>
  <c r="U988" i="33"/>
  <c r="U987" i="33"/>
  <c r="S983" i="33"/>
  <c r="R983" i="33"/>
  <c r="Q983" i="33"/>
  <c r="P983" i="33"/>
  <c r="O983" i="33"/>
  <c r="N983" i="33"/>
  <c r="Z953" i="33"/>
  <c r="Y953" i="33"/>
  <c r="X953" i="33"/>
  <c r="W953" i="33"/>
  <c r="V953" i="33"/>
  <c r="U953" i="33"/>
  <c r="U952" i="33"/>
  <c r="U951" i="33"/>
  <c r="U950" i="33"/>
  <c r="S946" i="33"/>
  <c r="R946" i="33"/>
  <c r="Q946" i="33"/>
  <c r="P946" i="33"/>
  <c r="O946" i="33"/>
  <c r="N946" i="33"/>
  <c r="Z915" i="33"/>
  <c r="Y915" i="33"/>
  <c r="X915" i="33"/>
  <c r="W915" i="33"/>
  <c r="V915" i="33"/>
  <c r="U915" i="33"/>
  <c r="U914" i="33"/>
  <c r="U913" i="33"/>
  <c r="U912" i="33"/>
  <c r="S908" i="33"/>
  <c r="R908" i="33"/>
  <c r="P908" i="33"/>
  <c r="Z869" i="33"/>
  <c r="Y869" i="33"/>
  <c r="X869" i="33"/>
  <c r="W869" i="33"/>
  <c r="V869" i="33"/>
  <c r="U869" i="33"/>
  <c r="U868" i="33"/>
  <c r="U867" i="33"/>
  <c r="U866" i="33"/>
  <c r="S862" i="33"/>
  <c r="R862" i="33"/>
  <c r="Q862" i="33"/>
  <c r="P862" i="33"/>
  <c r="O862" i="33"/>
  <c r="N862" i="33"/>
  <c r="Z824" i="33"/>
  <c r="Y824" i="33"/>
  <c r="X824" i="33"/>
  <c r="W824" i="33"/>
  <c r="V824" i="33"/>
  <c r="U824" i="33"/>
  <c r="U823" i="33"/>
  <c r="U822" i="33"/>
  <c r="U821" i="33"/>
  <c r="S817" i="33"/>
  <c r="R817" i="33"/>
  <c r="Z778" i="33"/>
  <c r="Y778" i="33"/>
  <c r="X778" i="33"/>
  <c r="W778" i="33"/>
  <c r="V778" i="33"/>
  <c r="U778" i="33"/>
  <c r="U777" i="33"/>
  <c r="U776" i="33"/>
  <c r="U775" i="33"/>
  <c r="S771" i="33"/>
  <c r="R771" i="33"/>
  <c r="Q771" i="33"/>
  <c r="P771" i="33"/>
  <c r="O771" i="33"/>
  <c r="N771" i="33"/>
  <c r="S733" i="33"/>
  <c r="R733" i="33"/>
  <c r="Q733" i="33"/>
  <c r="P733" i="33"/>
  <c r="O733" i="33"/>
  <c r="N733" i="33"/>
  <c r="Z703" i="33"/>
  <c r="Y703" i="33"/>
  <c r="X703" i="33"/>
  <c r="W703" i="33"/>
  <c r="V703" i="33"/>
  <c r="U703" i="33"/>
  <c r="U702" i="33"/>
  <c r="U701" i="33"/>
  <c r="U700" i="33"/>
  <c r="S696" i="33"/>
  <c r="R696" i="33"/>
  <c r="Q696" i="33"/>
  <c r="P696" i="33"/>
  <c r="O696" i="33"/>
  <c r="N696" i="33"/>
  <c r="U664" i="33"/>
  <c r="U663" i="33"/>
  <c r="U662" i="33"/>
  <c r="S659" i="33"/>
  <c r="R659" i="33"/>
  <c r="Q659" i="33"/>
  <c r="P659" i="33"/>
  <c r="O659" i="33"/>
  <c r="N659" i="33"/>
  <c r="U627" i="33"/>
  <c r="U626" i="33"/>
  <c r="U625" i="33"/>
  <c r="S621" i="33"/>
  <c r="R621" i="33"/>
  <c r="Q621" i="33"/>
  <c r="P621" i="33"/>
  <c r="O621" i="33"/>
  <c r="N621" i="33"/>
  <c r="U590" i="33"/>
  <c r="U589" i="33"/>
  <c r="U588" i="33"/>
  <c r="S584" i="33"/>
  <c r="R584" i="33"/>
  <c r="Q584" i="33"/>
  <c r="P584" i="33"/>
  <c r="O584" i="33"/>
  <c r="N584" i="33"/>
  <c r="Z553" i="33"/>
  <c r="Y553" i="33"/>
  <c r="X553" i="33"/>
  <c r="W553" i="33"/>
  <c r="V553" i="33"/>
  <c r="U553" i="33"/>
  <c r="U552" i="33"/>
  <c r="U551" i="33"/>
  <c r="U550" i="33"/>
  <c r="S546" i="33"/>
  <c r="R546" i="33"/>
  <c r="Q546" i="33"/>
  <c r="P546" i="33"/>
  <c r="O546" i="33"/>
  <c r="N546" i="33"/>
  <c r="Z515" i="33"/>
  <c r="Y515" i="33"/>
  <c r="X515" i="33"/>
  <c r="W515" i="33"/>
  <c r="V515" i="33"/>
  <c r="U515" i="33"/>
  <c r="U514" i="33"/>
  <c r="U513" i="33"/>
  <c r="U512" i="33"/>
  <c r="S508" i="33"/>
  <c r="R508" i="33"/>
  <c r="Q508" i="33"/>
  <c r="P508" i="33"/>
  <c r="O508" i="33"/>
  <c r="N508" i="33"/>
  <c r="Z478" i="33"/>
  <c r="Y478" i="33"/>
  <c r="X478" i="33"/>
  <c r="W478" i="33"/>
  <c r="V478" i="33"/>
  <c r="U478" i="33"/>
  <c r="U477" i="33"/>
  <c r="U476" i="33"/>
  <c r="U475" i="33"/>
  <c r="S471" i="33"/>
  <c r="R471" i="33"/>
  <c r="Q471" i="33"/>
  <c r="P471" i="33"/>
  <c r="O471" i="33"/>
  <c r="N471" i="33"/>
  <c r="Z440" i="33"/>
  <c r="Y440" i="33"/>
  <c r="X440" i="33"/>
  <c r="W440" i="33"/>
  <c r="V440" i="33"/>
  <c r="U440" i="33"/>
  <c r="U439" i="33"/>
  <c r="U438" i="33"/>
  <c r="U437" i="33"/>
  <c r="S433" i="33"/>
  <c r="R433" i="33"/>
  <c r="Q433" i="33"/>
  <c r="P433" i="33"/>
  <c r="O433" i="33"/>
  <c r="N433" i="33"/>
  <c r="Z394" i="33"/>
  <c r="Y394" i="33"/>
  <c r="X394" i="33"/>
  <c r="W394" i="33"/>
  <c r="V394" i="33"/>
  <c r="U394" i="33"/>
  <c r="U393" i="33"/>
  <c r="U392" i="33"/>
  <c r="U391" i="33"/>
  <c r="S387" i="33"/>
  <c r="R387" i="33"/>
  <c r="Q387" i="33"/>
  <c r="P387" i="33"/>
  <c r="O387" i="33"/>
  <c r="N387" i="33"/>
  <c r="Z349" i="33"/>
  <c r="Y349" i="33"/>
  <c r="X349" i="33"/>
  <c r="W349" i="33"/>
  <c r="V349" i="33"/>
  <c r="U349" i="33"/>
  <c r="U348" i="33"/>
  <c r="U347" i="33"/>
  <c r="U346" i="33"/>
  <c r="S342" i="33"/>
  <c r="R342" i="33"/>
  <c r="Q342" i="33"/>
  <c r="P342" i="33"/>
  <c r="O342" i="33"/>
  <c r="N342" i="33"/>
  <c r="Z303" i="33"/>
  <c r="Y303" i="33"/>
  <c r="X303" i="33"/>
  <c r="W303" i="33"/>
  <c r="V303" i="33"/>
  <c r="U303" i="33"/>
  <c r="U302" i="33"/>
  <c r="U301" i="33"/>
  <c r="U300" i="33"/>
  <c r="S297" i="33"/>
  <c r="R297" i="33"/>
  <c r="Q297" i="33"/>
  <c r="P297" i="33"/>
  <c r="O297" i="33"/>
  <c r="N297" i="33"/>
  <c r="Z258" i="33"/>
  <c r="Y258" i="33"/>
  <c r="X258" i="33"/>
  <c r="W258" i="33"/>
  <c r="V258" i="33"/>
  <c r="U258" i="33"/>
  <c r="U257" i="33"/>
  <c r="U256" i="33"/>
  <c r="U255" i="33"/>
  <c r="S251" i="33"/>
  <c r="R251" i="33"/>
  <c r="Q251" i="33"/>
  <c r="P251" i="33"/>
  <c r="O251" i="33"/>
  <c r="N251" i="33"/>
  <c r="Z213" i="33"/>
  <c r="Y213" i="33"/>
  <c r="X213" i="33"/>
  <c r="W213" i="33"/>
  <c r="V213" i="33"/>
  <c r="U213" i="33"/>
  <c r="U212" i="33"/>
  <c r="U211" i="33"/>
  <c r="U210" i="33"/>
  <c r="S206" i="33"/>
  <c r="R206" i="33"/>
  <c r="Q206" i="33"/>
  <c r="P206" i="33"/>
  <c r="O206" i="33"/>
  <c r="Z167" i="33"/>
  <c r="Y167" i="33"/>
  <c r="X167" i="33"/>
  <c r="W167" i="33"/>
  <c r="V167" i="33"/>
  <c r="U167" i="33"/>
  <c r="U166" i="33"/>
  <c r="U165" i="33"/>
  <c r="U164" i="33"/>
  <c r="S160" i="33"/>
  <c r="R160" i="33"/>
  <c r="Z121" i="33"/>
  <c r="Y121" i="33"/>
  <c r="X121" i="33"/>
  <c r="W121" i="33"/>
  <c r="V121" i="33"/>
  <c r="U121" i="33"/>
  <c r="U120" i="33"/>
  <c r="U119" i="33"/>
  <c r="U118" i="33"/>
  <c r="S114" i="33"/>
  <c r="R114" i="33"/>
  <c r="Q114" i="33"/>
  <c r="P114" i="33"/>
  <c r="Z76" i="33"/>
  <c r="Y76" i="33"/>
  <c r="X76" i="33"/>
  <c r="W76" i="33"/>
  <c r="V76" i="33"/>
  <c r="U76" i="33"/>
  <c r="U75" i="33"/>
  <c r="U74" i="33"/>
  <c r="U73" i="33"/>
  <c r="S69" i="33"/>
  <c r="R69" i="33"/>
  <c r="Q69" i="33"/>
  <c r="B67" i="33"/>
  <c r="B66" i="33"/>
  <c r="B64" i="33"/>
  <c r="G58" i="33"/>
  <c r="F58" i="33" s="1"/>
  <c r="I58" i="33" s="1"/>
  <c r="G57" i="33"/>
  <c r="B57" i="33" s="1"/>
  <c r="I55" i="33"/>
  <c r="G55" i="33"/>
  <c r="F55" i="33"/>
  <c r="B55" i="33"/>
  <c r="G53" i="33"/>
  <c r="B52" i="33"/>
  <c r="I65" i="33"/>
  <c r="G39" i="33"/>
  <c r="H37" i="33"/>
  <c r="B37" i="33" s="1"/>
  <c r="G37" i="33"/>
  <c r="F37" i="33"/>
  <c r="G36" i="33"/>
  <c r="F36" i="33"/>
  <c r="H36" i="33" s="1"/>
  <c r="O2" i="33" s="1"/>
  <c r="Z28" i="33"/>
  <c r="Y28" i="33"/>
  <c r="X28" i="33"/>
  <c r="W28" i="33"/>
  <c r="V28" i="33"/>
  <c r="U28" i="33"/>
  <c r="U27" i="33"/>
  <c r="U26" i="33"/>
  <c r="U25" i="33"/>
  <c r="G59" i="33"/>
  <c r="O16" i="33"/>
  <c r="H51" i="33" s="1"/>
  <c r="B51" i="33" s="1"/>
  <c r="L16" i="33"/>
  <c r="BB15" i="33"/>
  <c r="N15" i="33"/>
  <c r="O15" i="33" s="1"/>
  <c r="BB14" i="33"/>
  <c r="L9" i="33"/>
  <c r="L10" i="33" s="1"/>
  <c r="O8" i="33"/>
  <c r="N8" i="33"/>
  <c r="L8" i="33"/>
  <c r="S15" i="33" s="1"/>
  <c r="H38" i="33"/>
  <c r="B38" i="33" s="1"/>
  <c r="Q5" i="33"/>
  <c r="N2" i="33"/>
  <c r="W1" i="33"/>
  <c r="B65" i="33" s="1"/>
  <c r="F57" i="33" l="1"/>
  <c r="B58" i="33"/>
  <c r="T5" i="33"/>
  <c r="G40" i="33"/>
  <c r="R5" i="33"/>
  <c r="I57" i="33" s="1"/>
  <c r="S5" i="33"/>
  <c r="T471" i="33"/>
  <c r="T696" i="33"/>
  <c r="T983" i="33"/>
  <c r="T1021" i="33"/>
  <c r="T1233" i="33"/>
  <c r="T1410" i="33"/>
  <c r="Q3" i="33"/>
  <c r="O14" i="33" s="1"/>
  <c r="F39" i="33"/>
  <c r="F40" i="33"/>
  <c r="T1158" i="33"/>
  <c r="L5" i="33"/>
  <c r="L6" i="33" s="1"/>
  <c r="P3" i="33" s="1"/>
  <c r="F59" i="33"/>
  <c r="R7" i="33"/>
  <c r="I59" i="33"/>
  <c r="T251" i="33"/>
  <c r="T508" i="33"/>
  <c r="T771" i="33"/>
  <c r="T297" i="33"/>
  <c r="T387" i="33"/>
  <c r="T546" i="33"/>
  <c r="T621" i="33"/>
  <c r="T862" i="33"/>
  <c r="T1067" i="33"/>
  <c r="T1364" i="33"/>
  <c r="T1523" i="33"/>
  <c r="T946" i="33"/>
  <c r="T342" i="33"/>
  <c r="T433" i="33"/>
  <c r="T584" i="33"/>
  <c r="T659" i="33"/>
  <c r="T1448" i="33"/>
  <c r="B53" i="33"/>
  <c r="T21" i="33"/>
  <c r="O10" i="33"/>
  <c r="N10" i="33"/>
  <c r="N9" i="33"/>
  <c r="F38" i="33"/>
  <c r="B59" i="33"/>
  <c r="O9" i="33"/>
  <c r="G38" i="33"/>
  <c r="T733" i="33"/>
  <c r="T1112" i="33"/>
  <c r="T1196" i="33"/>
  <c r="T1271" i="33"/>
  <c r="T1485" i="33"/>
  <c r="T16" i="33" l="1"/>
  <c r="T17" i="33" s="1"/>
  <c r="P13" i="33"/>
  <c r="N7" i="33" s="1"/>
  <c r="H45" i="33" s="1"/>
  <c r="B45" i="33" s="1"/>
  <c r="P7" i="33"/>
  <c r="N4" i="33" s="1"/>
  <c r="H42" i="33" s="1"/>
  <c r="B42" i="33" s="1"/>
  <c r="P11" i="33"/>
  <c r="N6" i="33" s="1"/>
  <c r="H44" i="33" s="1"/>
  <c r="B44" i="33" s="1"/>
  <c r="P5" i="33"/>
  <c r="N3" i="33" s="1"/>
  <c r="P9" i="33"/>
  <c r="N5" i="33" s="1"/>
  <c r="H43" i="33" s="1"/>
  <c r="B43" i="33" s="1"/>
  <c r="F63" i="33"/>
  <c r="Q7" i="33"/>
  <c r="N11" i="33"/>
  <c r="O11" i="33" s="1"/>
  <c r="H40" i="33" s="1"/>
  <c r="B40" i="33" s="1"/>
  <c r="O12" i="33"/>
  <c r="N13" i="33"/>
  <c r="O13" i="33" s="1"/>
  <c r="Q9" i="33"/>
  <c r="L7" i="33"/>
  <c r="L13" i="33" s="1"/>
  <c r="O3" i="33" l="1"/>
  <c r="H41" i="33"/>
  <c r="B41" i="33" s="1"/>
  <c r="O6" i="33"/>
  <c r="O5" i="33"/>
  <c r="O4" i="33"/>
  <c r="O7" i="33"/>
  <c r="L2" i="33"/>
  <c r="L3" i="33" s="1"/>
  <c r="L12" i="33" s="1"/>
  <c r="L14" i="33" s="1"/>
  <c r="L15" i="33" s="1"/>
  <c r="I66" i="33"/>
  <c r="H39" i="33"/>
  <c r="B39" i="33" s="1"/>
  <c r="O17" i="33" l="1"/>
  <c r="R9" i="33" s="1"/>
  <c r="N17" i="33"/>
  <c r="F53" i="33" s="1"/>
  <c r="H62" i="33"/>
  <c r="BD7" i="33" s="1"/>
  <c r="I63" i="33"/>
  <c r="BF8" i="33" s="1"/>
  <c r="D14" i="33" l="1"/>
  <c r="F52" i="33"/>
  <c r="G52" i="33"/>
  <c r="F54" i="33"/>
  <c r="I64" i="33"/>
  <c r="R11" i="33"/>
  <c r="R98" i="33" l="1"/>
  <c r="N41" i="33"/>
  <c r="R41" i="33"/>
  <c r="P42" i="33"/>
  <c r="N43" i="33"/>
  <c r="R43" i="33"/>
  <c r="P44" i="33"/>
  <c r="N45" i="33"/>
  <c r="R45" i="33"/>
  <c r="P46" i="33"/>
  <c r="N47" i="33"/>
  <c r="R47" i="33"/>
  <c r="Q48" i="33"/>
  <c r="O49" i="33"/>
  <c r="S49" i="33"/>
  <c r="Q50" i="33"/>
  <c r="O51" i="33"/>
  <c r="S51" i="33"/>
  <c r="O42" i="33"/>
  <c r="Q43" i="33"/>
  <c r="S46" i="33"/>
  <c r="Q47" i="33"/>
  <c r="N49" i="33"/>
  <c r="R49" i="33"/>
  <c r="P50" i="33"/>
  <c r="O41" i="33"/>
  <c r="S41" i="33"/>
  <c r="Q42" i="33"/>
  <c r="O43" i="33"/>
  <c r="S43" i="33"/>
  <c r="Q44" i="33"/>
  <c r="O45" i="33"/>
  <c r="S45" i="33"/>
  <c r="Q46" i="33"/>
  <c r="O47" i="33"/>
  <c r="S47" i="33"/>
  <c r="N48" i="33"/>
  <c r="R48" i="33"/>
  <c r="P49" i="33"/>
  <c r="N50" i="33"/>
  <c r="R50" i="33"/>
  <c r="P51" i="33"/>
  <c r="S48" i="33"/>
  <c r="Q51" i="33"/>
  <c r="S44" i="33"/>
  <c r="P48" i="33"/>
  <c r="N51" i="33"/>
  <c r="R51" i="33"/>
  <c r="P41" i="33"/>
  <c r="N42" i="33"/>
  <c r="R42" i="33"/>
  <c r="P43" i="33"/>
  <c r="N44" i="33"/>
  <c r="R44" i="33"/>
  <c r="P45" i="33"/>
  <c r="N46" i="33"/>
  <c r="R46" i="33"/>
  <c r="P47" i="33"/>
  <c r="O48" i="33"/>
  <c r="Q49" i="33"/>
  <c r="O50" i="33"/>
  <c r="S50" i="33"/>
  <c r="Q41" i="33"/>
  <c r="S42" i="33"/>
  <c r="O44" i="33"/>
  <c r="Q45" i="33"/>
  <c r="O46" i="33"/>
  <c r="N337" i="33"/>
  <c r="N490" i="33"/>
  <c r="Q32" i="33"/>
  <c r="P68" i="33"/>
  <c r="R83" i="33"/>
  <c r="P128" i="33"/>
  <c r="P379" i="33"/>
  <c r="R77" i="33"/>
  <c r="R217" i="33"/>
  <c r="Q666" i="33"/>
  <c r="O35" i="33"/>
  <c r="Q61" i="33"/>
  <c r="P307" i="33"/>
  <c r="O93" i="33"/>
  <c r="O54" i="33"/>
  <c r="R87" i="33"/>
  <c r="R93" i="33"/>
  <c r="R40" i="33"/>
  <c r="P102" i="33"/>
  <c r="N141" i="33"/>
  <c r="Q242" i="33"/>
  <c r="N330" i="33"/>
  <c r="N414" i="33"/>
  <c r="P535" i="33"/>
  <c r="P29" i="33"/>
  <c r="Q126" i="33"/>
  <c r="R499" i="33"/>
  <c r="S56" i="33"/>
  <c r="R95" i="33"/>
  <c r="R101" i="33"/>
  <c r="N79" i="33"/>
  <c r="R147" i="33"/>
  <c r="P268" i="33"/>
  <c r="P339" i="33"/>
  <c r="N426" i="33"/>
  <c r="N562" i="33"/>
  <c r="O40" i="33"/>
  <c r="S153" i="33"/>
  <c r="S649" i="33"/>
  <c r="O66" i="33"/>
  <c r="O65" i="33"/>
  <c r="S31" i="33"/>
  <c r="S58" i="33"/>
  <c r="N81" i="33"/>
  <c r="P108" i="33"/>
  <c r="N175" i="33"/>
  <c r="P292" i="33"/>
  <c r="R368" i="33"/>
  <c r="N466" i="33"/>
  <c r="P617" i="33"/>
  <c r="P67" i="33"/>
  <c r="P263" i="33"/>
  <c r="S130" i="33"/>
  <c r="P195" i="33"/>
  <c r="N569" i="33"/>
  <c r="P426" i="33"/>
  <c r="P310" i="33"/>
  <c r="P214" i="33"/>
  <c r="S147" i="33"/>
  <c r="S109" i="33"/>
  <c r="O83" i="33"/>
  <c r="P54" i="33"/>
  <c r="S38" i="33"/>
  <c r="S834" i="33"/>
  <c r="O649" i="33"/>
  <c r="N600" i="33"/>
  <c r="R560" i="33"/>
  <c r="P519" i="33"/>
  <c r="P487" i="33"/>
  <c r="R452" i="33"/>
  <c r="N422" i="33"/>
  <c r="R404" i="33"/>
  <c r="R376" i="33"/>
  <c r="P359" i="33"/>
  <c r="R336" i="33"/>
  <c r="R320" i="33"/>
  <c r="N306" i="33"/>
  <c r="P284" i="33"/>
  <c r="P264" i="33"/>
  <c r="R233" i="33"/>
  <c r="N214" i="33"/>
  <c r="N159" i="33"/>
  <c r="N145" i="33"/>
  <c r="R135" i="33"/>
  <c r="R125" i="33"/>
  <c r="N95" i="33"/>
  <c r="O63" i="33"/>
  <c r="P94" i="33"/>
  <c r="O64" i="33"/>
  <c r="R105" i="33"/>
  <c r="R109" i="33"/>
  <c r="N91" i="33"/>
  <c r="P62" i="33"/>
  <c r="N36" i="33"/>
  <c r="N109" i="33"/>
  <c r="P90" i="33"/>
  <c r="N77" i="33"/>
  <c r="Q59" i="33"/>
  <c r="S29" i="33"/>
  <c r="R490" i="33"/>
  <c r="R131" i="33"/>
  <c r="N557" i="33"/>
  <c r="N385" i="33"/>
  <c r="N270" i="33"/>
  <c r="N200" i="33"/>
  <c r="Q136" i="33"/>
  <c r="O101" i="33"/>
  <c r="Q82" i="33"/>
  <c r="R32" i="33"/>
  <c r="O730" i="33"/>
  <c r="N620" i="33"/>
  <c r="N582" i="33"/>
  <c r="N538" i="33"/>
  <c r="N502" i="33"/>
  <c r="R468" i="33"/>
  <c r="R444" i="33"/>
  <c r="P415" i="33"/>
  <c r="N398" i="33"/>
  <c r="N370" i="33"/>
  <c r="N354" i="33"/>
  <c r="P331" i="33"/>
  <c r="P315" i="33"/>
  <c r="R293" i="33"/>
  <c r="N279" i="33"/>
  <c r="N246" i="33"/>
  <c r="Q226" i="33"/>
  <c r="R176" i="33"/>
  <c r="R153" i="33"/>
  <c r="P142" i="33"/>
  <c r="R133" i="33"/>
  <c r="N123" i="33"/>
  <c r="P92" i="33"/>
  <c r="R107" i="33"/>
  <c r="Q57" i="33"/>
  <c r="R79" i="33"/>
  <c r="P98" i="33"/>
  <c r="O33" i="33"/>
  <c r="P80" i="33"/>
  <c r="P104" i="33"/>
  <c r="O31" i="33"/>
  <c r="P53" i="33"/>
  <c r="P86" i="33"/>
  <c r="R89" i="33"/>
  <c r="R129" i="33"/>
  <c r="N151" i="33"/>
  <c r="R224" i="33"/>
  <c r="R277" i="33"/>
  <c r="R312" i="33"/>
  <c r="R352" i="33"/>
  <c r="N386" i="33"/>
  <c r="R432" i="33"/>
  <c r="N498" i="33"/>
  <c r="P575" i="33"/>
  <c r="S724" i="33"/>
  <c r="S99" i="33"/>
  <c r="P182" i="33"/>
  <c r="P354" i="33"/>
  <c r="P1155" i="33"/>
  <c r="R52" i="33"/>
  <c r="S63" i="33"/>
  <c r="N85" i="33"/>
  <c r="N101" i="33"/>
  <c r="N38" i="33"/>
  <c r="P88" i="33"/>
  <c r="Q34" i="33"/>
  <c r="S33" i="33"/>
  <c r="S60" i="33"/>
  <c r="N97" i="33"/>
  <c r="N103" i="33"/>
  <c r="N137" i="33"/>
  <c r="S159" i="33"/>
  <c r="P235" i="33"/>
  <c r="N287" i="33"/>
  <c r="N322" i="33"/>
  <c r="R360" i="33"/>
  <c r="N406" i="33"/>
  <c r="P455" i="33"/>
  <c r="R524" i="33"/>
  <c r="P605" i="33"/>
  <c r="N886" i="33"/>
  <c r="R57" i="33"/>
  <c r="O123" i="33"/>
  <c r="Q236" i="33"/>
  <c r="P446" i="33"/>
  <c r="P79" i="33"/>
  <c r="Q668" i="33"/>
  <c r="P615" i="33"/>
  <c r="N130" i="33"/>
  <c r="R216" i="33"/>
  <c r="R145" i="33"/>
  <c r="S704" i="33"/>
  <c r="N595" i="33"/>
  <c r="R507" i="33"/>
  <c r="N457" i="33"/>
  <c r="R403" i="33"/>
  <c r="N361" i="33"/>
  <c r="R319" i="33"/>
  <c r="R280" i="33"/>
  <c r="N241" i="33"/>
  <c r="R219" i="33"/>
  <c r="Q188" i="33"/>
  <c r="Q156" i="33"/>
  <c r="S139" i="33"/>
  <c r="O129" i="33"/>
  <c r="S111" i="33"/>
  <c r="Q102" i="33"/>
  <c r="S95" i="33"/>
  <c r="Q86" i="33"/>
  <c r="S77" i="33"/>
  <c r="N59" i="33"/>
  <c r="P33" i="33"/>
  <c r="R954" i="33"/>
  <c r="Q746" i="33"/>
  <c r="Q674" i="33"/>
  <c r="S635" i="33"/>
  <c r="R606" i="33"/>
  <c r="P583" i="33"/>
  <c r="N570" i="33"/>
  <c r="N542" i="33"/>
  <c r="N526" i="33"/>
  <c r="N506" i="33"/>
  <c r="P491" i="33"/>
  <c r="R480" i="33"/>
  <c r="R460" i="33"/>
  <c r="N446" i="33"/>
  <c r="P427" i="33"/>
  <c r="P419" i="33"/>
  <c r="R408" i="33"/>
  <c r="P399" i="33"/>
  <c r="N382" i="33"/>
  <c r="P371" i="33"/>
  <c r="P363" i="33"/>
  <c r="P355" i="33"/>
  <c r="R340" i="33"/>
  <c r="N334" i="33"/>
  <c r="P323" i="33"/>
  <c r="R316" i="33"/>
  <c r="N310" i="33"/>
  <c r="N295" i="33"/>
  <c r="P288" i="33"/>
  <c r="R281" i="33"/>
  <c r="N271" i="33"/>
  <c r="S247" i="33"/>
  <c r="N239" i="33"/>
  <c r="P228" i="33"/>
  <c r="P219" i="33"/>
  <c r="N182" i="33"/>
  <c r="R169" i="33"/>
  <c r="N154" i="33"/>
  <c r="Q214" i="33"/>
  <c r="N259" i="33"/>
  <c r="P172" i="33"/>
  <c r="S763" i="33"/>
  <c r="P612" i="33"/>
  <c r="N533" i="33"/>
  <c r="N465" i="33"/>
  <c r="N417" i="33"/>
  <c r="P370" i="33"/>
  <c r="P326" i="33"/>
  <c r="N290" i="33"/>
  <c r="O247" i="33"/>
  <c r="O223" i="33"/>
  <c r="R195" i="33"/>
  <c r="R171" i="33"/>
  <c r="S143" i="33"/>
  <c r="Q130" i="33"/>
  <c r="Q122" i="33"/>
  <c r="Q106" i="33"/>
  <c r="Q96" i="33"/>
  <c r="Q88" i="33"/>
  <c r="O81" i="33"/>
  <c r="R61" i="33"/>
  <c r="Q53" i="33"/>
  <c r="P35" i="33"/>
  <c r="S1126" i="33"/>
  <c r="S781" i="33"/>
  <c r="O688" i="33"/>
  <c r="Q638" i="33"/>
  <c r="R614" i="33"/>
  <c r="N596" i="33"/>
  <c r="P571" i="33"/>
  <c r="P555" i="33"/>
  <c r="P527" i="33"/>
  <c r="R516" i="33"/>
  <c r="R496" i="33"/>
  <c r="N482" i="33"/>
  <c r="N462" i="33"/>
  <c r="P451" i="33"/>
  <c r="N430" i="33"/>
  <c r="R420" i="33"/>
  <c r="P411" i="33"/>
  <c r="R400" i="33"/>
  <c r="R384" i="33"/>
  <c r="P375" i="33"/>
  <c r="R364" i="33"/>
  <c r="N358" i="33"/>
  <c r="N350" i="33"/>
  <c r="P335" i="33"/>
  <c r="R328" i="33"/>
  <c r="N318" i="33"/>
  <c r="P311" i="33"/>
  <c r="R304" i="33"/>
  <c r="R289" i="33"/>
  <c r="N283" i="33"/>
  <c r="N275" i="33"/>
  <c r="R249" i="33"/>
  <c r="R240" i="33"/>
  <c r="S231" i="33"/>
  <c r="O221" i="33"/>
  <c r="Q186" i="33"/>
  <c r="O173" i="33"/>
  <c r="P155" i="33"/>
  <c r="P146" i="33"/>
  <c r="R139" i="33"/>
  <c r="N131" i="33"/>
  <c r="P124" i="33"/>
  <c r="P100" i="33"/>
  <c r="P84" i="33"/>
  <c r="N105" i="33"/>
  <c r="R91" i="33"/>
  <c r="O67" i="33"/>
  <c r="N52" i="33"/>
  <c r="R38" i="33"/>
  <c r="S67" i="33"/>
  <c r="O29" i="33"/>
  <c r="N99" i="33"/>
  <c r="N83" i="33"/>
  <c r="O60" i="33"/>
  <c r="P39" i="33"/>
  <c r="Q30" i="33"/>
  <c r="P106" i="33"/>
  <c r="P65" i="33"/>
  <c r="Q90" i="33"/>
  <c r="O107" i="33"/>
  <c r="S135" i="33"/>
  <c r="S177" i="33"/>
  <c r="P229" i="33"/>
  <c r="P295" i="33"/>
  <c r="N381" i="33"/>
  <c r="N485" i="33"/>
  <c r="N629" i="33"/>
  <c r="N190" i="33"/>
  <c r="R354" i="33"/>
  <c r="R532" i="33"/>
  <c r="N554" i="33"/>
  <c r="R564" i="33"/>
  <c r="N578" i="33"/>
  <c r="R598" i="33"/>
  <c r="R610" i="33"/>
  <c r="N634" i="33"/>
  <c r="Q654" i="33"/>
  <c r="Q693" i="33"/>
  <c r="S767" i="33"/>
  <c r="P944" i="33"/>
  <c r="N30" i="33"/>
  <c r="Q37" i="33"/>
  <c r="N57" i="33"/>
  <c r="Q62" i="33"/>
  <c r="Q78" i="33"/>
  <c r="S85" i="33"/>
  <c r="S91" i="33"/>
  <c r="O97" i="33"/>
  <c r="Q104" i="33"/>
  <c r="Q110" i="33"/>
  <c r="O125" i="33"/>
  <c r="S133" i="33"/>
  <c r="O141" i="33"/>
  <c r="S149" i="33"/>
  <c r="N169" i="33"/>
  <c r="P181" i="33"/>
  <c r="P190" i="33"/>
  <c r="R202" i="33"/>
  <c r="P222" i="33"/>
  <c r="N233" i="33"/>
  <c r="P246" i="33"/>
  <c r="N266" i="33"/>
  <c r="N282" i="33"/>
  <c r="N309" i="33"/>
  <c r="N325" i="33"/>
  <c r="R339" i="33"/>
  <c r="P366" i="33"/>
  <c r="P382" i="33"/>
  <c r="P406" i="33"/>
  <c r="R431" i="33"/>
  <c r="P462" i="33"/>
  <c r="R491" i="33"/>
  <c r="N529" i="33"/>
  <c r="P562" i="33"/>
  <c r="R597" i="33"/>
  <c r="O647" i="33"/>
  <c r="O753" i="33"/>
  <c r="N113" i="33"/>
  <c r="R152" i="33"/>
  <c r="S191" i="33"/>
  <c r="S223" i="33"/>
  <c r="N86" i="33"/>
  <c r="N146" i="33"/>
  <c r="R410" i="33"/>
  <c r="P875" i="33"/>
  <c r="N288" i="33"/>
  <c r="Q146" i="33"/>
  <c r="R155" i="33"/>
  <c r="P174" i="33"/>
  <c r="R186" i="33"/>
  <c r="Q196" i="33"/>
  <c r="O215" i="33"/>
  <c r="Q228" i="33"/>
  <c r="O239" i="33"/>
  <c r="N248" i="33"/>
  <c r="P275" i="33"/>
  <c r="P291" i="33"/>
  <c r="R315" i="33"/>
  <c r="P334" i="33"/>
  <c r="R355" i="33"/>
  <c r="P374" i="33"/>
  <c r="R399" i="33"/>
  <c r="R419" i="33"/>
  <c r="N449" i="33"/>
  <c r="R483" i="33"/>
  <c r="N505" i="33"/>
  <c r="P534" i="33"/>
  <c r="P578" i="33"/>
  <c r="R613" i="33"/>
  <c r="O675" i="33"/>
  <c r="S961" i="33"/>
  <c r="N135" i="33"/>
  <c r="P180" i="33"/>
  <c r="Q202" i="33"/>
  <c r="R124" i="33"/>
  <c r="P305" i="33"/>
  <c r="P557" i="33"/>
  <c r="N324" i="33"/>
  <c r="R411" i="33"/>
  <c r="R427" i="33"/>
  <c r="P454" i="33"/>
  <c r="R479" i="33"/>
  <c r="P494" i="33"/>
  <c r="N521" i="33"/>
  <c r="R543" i="33"/>
  <c r="N577" i="33"/>
  <c r="R601" i="33"/>
  <c r="P634" i="33"/>
  <c r="S694" i="33"/>
  <c r="O840" i="33"/>
  <c r="P130" i="33"/>
  <c r="P148" i="33"/>
  <c r="O181" i="33"/>
  <c r="R200" i="33"/>
  <c r="P236" i="33"/>
  <c r="P93" i="33"/>
  <c r="N126" i="33"/>
  <c r="P175" i="33"/>
  <c r="R322" i="33"/>
  <c r="N448" i="33"/>
  <c r="P581" i="33"/>
  <c r="N37" i="33"/>
  <c r="R67" i="33"/>
  <c r="R521" i="33"/>
  <c r="P83" i="33"/>
  <c r="N104" i="33"/>
  <c r="P141" i="33"/>
  <c r="P248" i="33"/>
  <c r="N384" i="33"/>
  <c r="P517" i="33"/>
  <c r="Q685" i="33"/>
  <c r="N203" i="33"/>
  <c r="R182" i="33"/>
  <c r="N366" i="33"/>
  <c r="N374" i="33"/>
  <c r="R380" i="33"/>
  <c r="P395" i="33"/>
  <c r="P403" i="33"/>
  <c r="N410" i="33"/>
  <c r="R416" i="33"/>
  <c r="R424" i="33"/>
  <c r="P431" i="33"/>
  <c r="P447" i="33"/>
  <c r="N458" i="33"/>
  <c r="P467" i="33"/>
  <c r="R484" i="33"/>
  <c r="P495" i="33"/>
  <c r="P503" i="33"/>
  <c r="R520" i="33"/>
  <c r="P531" i="33"/>
  <c r="R540" i="33"/>
  <c r="R556" i="33"/>
  <c r="P567" i="33"/>
  <c r="R576" i="33"/>
  <c r="P593" i="33"/>
  <c r="N604" i="33"/>
  <c r="N612" i="33"/>
  <c r="N630" i="33"/>
  <c r="Q646" i="33"/>
  <c r="S671" i="33"/>
  <c r="S708" i="33"/>
  <c r="O757" i="33"/>
  <c r="O856" i="33"/>
  <c r="Q1043" i="33"/>
  <c r="N32" i="33"/>
  <c r="O36" i="33"/>
  <c r="S40" i="33"/>
  <c r="N55" i="33"/>
  <c r="P60" i="33"/>
  <c r="P66" i="33"/>
  <c r="S79" i="33"/>
  <c r="O85" i="33"/>
  <c r="O89" i="33"/>
  <c r="S93" i="33"/>
  <c r="O99" i="33"/>
  <c r="S103" i="33"/>
  <c r="S107" i="33"/>
  <c r="O113" i="33"/>
  <c r="S125" i="33"/>
  <c r="S131" i="33"/>
  <c r="O139" i="33"/>
  <c r="Q144" i="33"/>
  <c r="Q150" i="33"/>
  <c r="N168" i="33"/>
  <c r="N176" i="33"/>
  <c r="O183" i="33"/>
  <c r="N193" i="33"/>
  <c r="N201" i="33"/>
  <c r="S217" i="33"/>
  <c r="R226" i="33"/>
  <c r="S233" i="33"/>
  <c r="R242" i="33"/>
  <c r="R260" i="33"/>
  <c r="N274" i="33"/>
  <c r="R284" i="33"/>
  <c r="N305" i="33"/>
  <c r="P318" i="33"/>
  <c r="P330" i="33"/>
  <c r="N353" i="33"/>
  <c r="R363" i="33"/>
  <c r="R375" i="33"/>
  <c r="P398" i="33"/>
  <c r="P410" i="33"/>
  <c r="N421" i="33"/>
  <c r="R443" i="33"/>
  <c r="R455" i="33"/>
  <c r="R467" i="33"/>
  <c r="P490" i="33"/>
  <c r="N501" i="33"/>
  <c r="P522" i="33"/>
  <c r="P542" i="33"/>
  <c r="P566" i="33"/>
  <c r="R579" i="33"/>
  <c r="N607" i="33"/>
  <c r="P630" i="33"/>
  <c r="O667" i="33"/>
  <c r="Q742" i="33"/>
  <c r="Q861" i="33"/>
  <c r="R123" i="33"/>
  <c r="R141" i="33"/>
  <c r="R168" i="33"/>
  <c r="R184" i="33"/>
  <c r="O197" i="33"/>
  <c r="N222" i="33"/>
  <c r="N267" i="33"/>
  <c r="R68" i="33"/>
  <c r="R90" i="33"/>
  <c r="R108" i="33"/>
  <c r="R136" i="33"/>
  <c r="Q198" i="33"/>
  <c r="P278" i="33"/>
  <c r="R330" i="33"/>
  <c r="N404" i="33"/>
  <c r="N464" i="33"/>
  <c r="R538" i="33"/>
  <c r="P603" i="33"/>
  <c r="S716" i="33"/>
  <c r="N144" i="33"/>
  <c r="N265" i="33"/>
  <c r="Q85" i="33"/>
  <c r="N237" i="33"/>
  <c r="R653" i="33"/>
  <c r="R607" i="33"/>
  <c r="S274" i="33"/>
  <c r="P396" i="33"/>
  <c r="N196" i="33"/>
  <c r="O122" i="33"/>
  <c r="N195" i="33"/>
  <c r="S55" i="33"/>
  <c r="S743" i="33"/>
  <c r="P629" i="33"/>
  <c r="R574" i="33"/>
  <c r="R522" i="33"/>
  <c r="P469" i="33"/>
  <c r="R426" i="33"/>
  <c r="R370" i="33"/>
  <c r="N328" i="33"/>
  <c r="P290" i="33"/>
  <c r="P224" i="33"/>
  <c r="P168" i="33"/>
  <c r="P135" i="33"/>
  <c r="P109" i="33"/>
  <c r="P95" i="33"/>
  <c r="R84" i="33"/>
  <c r="Q63" i="33"/>
  <c r="S3" i="33"/>
  <c r="S9" i="33" s="1"/>
  <c r="I52" i="33" s="1"/>
  <c r="R232" i="33"/>
  <c r="P204" i="33"/>
  <c r="P196" i="33"/>
  <c r="P188" i="33"/>
  <c r="N174" i="33"/>
  <c r="S151" i="33"/>
  <c r="P140" i="33"/>
  <c r="N125" i="33"/>
  <c r="S1064" i="33"/>
  <c r="O803" i="33"/>
  <c r="S720" i="33"/>
  <c r="Q672" i="33"/>
  <c r="O639" i="33"/>
  <c r="P616" i="33"/>
  <c r="R605" i="33"/>
  <c r="P592" i="33"/>
  <c r="R571" i="33"/>
  <c r="P558" i="33"/>
  <c r="R539" i="33"/>
  <c r="P526" i="33"/>
  <c r="P506" i="33"/>
  <c r="N497" i="33"/>
  <c r="P486" i="33"/>
  <c r="P470" i="33"/>
  <c r="N461" i="33"/>
  <c r="P450" i="33"/>
  <c r="N441" i="33"/>
  <c r="N425" i="33"/>
  <c r="P414" i="33"/>
  <c r="N405" i="33"/>
  <c r="R395" i="33"/>
  <c r="N377" i="33"/>
  <c r="N369" i="33"/>
  <c r="R359" i="33"/>
  <c r="N341" i="33"/>
  <c r="R331" i="33"/>
  <c r="R323" i="33"/>
  <c r="N313" i="33"/>
  <c r="R296" i="33"/>
  <c r="P287" i="33"/>
  <c r="R276" i="33"/>
  <c r="R268" i="33"/>
  <c r="P259" i="33"/>
  <c r="R243" i="33"/>
  <c r="P237" i="33"/>
  <c r="N232" i="33"/>
  <c r="N225" i="33"/>
  <c r="R218" i="33"/>
  <c r="Q204" i="33"/>
  <c r="P197" i="33"/>
  <c r="N192" i="33"/>
  <c r="S185" i="33"/>
  <c r="R178" i="33"/>
  <c r="Q172" i="33"/>
  <c r="O159" i="33"/>
  <c r="N152" i="33"/>
  <c r="O147" i="33"/>
  <c r="Q142" i="33"/>
  <c r="O137" i="33"/>
  <c r="O133" i="33"/>
  <c r="Q128" i="33"/>
  <c r="S243" i="33"/>
  <c r="N312" i="33"/>
  <c r="N364" i="33"/>
  <c r="P429" i="33"/>
  <c r="R494" i="33"/>
  <c r="R558" i="33"/>
  <c r="Q642" i="33"/>
  <c r="R265" i="33"/>
  <c r="N186" i="33"/>
  <c r="R54" i="33"/>
  <c r="S140" i="33"/>
  <c r="R357" i="33"/>
  <c r="Q410" i="33"/>
  <c r="N102" i="33"/>
  <c r="N112" i="33"/>
  <c r="P131" i="33"/>
  <c r="R144" i="33"/>
  <c r="N187" i="33"/>
  <c r="P239" i="33"/>
  <c r="N285" i="33"/>
  <c r="P313" i="33"/>
  <c r="P353" i="33"/>
  <c r="P381" i="33"/>
  <c r="P413" i="33"/>
  <c r="N456" i="33"/>
  <c r="P493" i="33"/>
  <c r="P529" i="33"/>
  <c r="P573" i="33"/>
  <c r="R604" i="33"/>
  <c r="O645" i="33"/>
  <c r="Q792" i="33"/>
  <c r="R157" i="33"/>
  <c r="P240" i="33"/>
  <c r="O94" i="33"/>
  <c r="P170" i="33"/>
  <c r="P265" i="33"/>
  <c r="P432" i="33"/>
  <c r="Q217" i="33"/>
  <c r="P243" i="33"/>
  <c r="R39" i="33"/>
  <c r="Q54" i="33"/>
  <c r="N80" i="33"/>
  <c r="N90" i="33"/>
  <c r="N98" i="33"/>
  <c r="R104" i="33"/>
  <c r="R122" i="33"/>
  <c r="R130" i="33"/>
  <c r="R138" i="33"/>
  <c r="Q158" i="33"/>
  <c r="R188" i="33"/>
  <c r="N226" i="33"/>
  <c r="R275" i="33"/>
  <c r="P294" i="33"/>
  <c r="N316" i="33"/>
  <c r="R338" i="33"/>
  <c r="N368" i="33"/>
  <c r="R398" i="33"/>
  <c r="P421" i="33"/>
  <c r="P449" i="33"/>
  <c r="N480" i="33"/>
  <c r="P505" i="33"/>
  <c r="N536" i="33"/>
  <c r="N564" i="33"/>
  <c r="P595" i="33"/>
  <c r="P619" i="33"/>
  <c r="S667" i="33"/>
  <c r="Q784" i="33"/>
  <c r="S32" i="33"/>
  <c r="O59" i="33"/>
  <c r="O177" i="33"/>
  <c r="O225" i="33"/>
  <c r="N35" i="33"/>
  <c r="N60" i="33"/>
  <c r="O104" i="33"/>
  <c r="O150" i="33"/>
  <c r="O219" i="33"/>
  <c r="R321" i="33"/>
  <c r="R481" i="33"/>
  <c r="Q175" i="33"/>
  <c r="S598" i="33"/>
  <c r="N231" i="33"/>
  <c r="O245" i="33"/>
  <c r="S30" i="33"/>
  <c r="Q67" i="33"/>
  <c r="R80" i="33"/>
  <c r="N88" i="33"/>
  <c r="N94" i="33"/>
  <c r="R100" i="33"/>
  <c r="P107" i="33"/>
  <c r="R112" i="33"/>
  <c r="P127" i="33"/>
  <c r="N134" i="33"/>
  <c r="R140" i="33"/>
  <c r="P149" i="33"/>
  <c r="S179" i="33"/>
  <c r="S203" i="33"/>
  <c r="O233" i="33"/>
  <c r="R271" i="33"/>
  <c r="R287" i="33"/>
  <c r="R306" i="33"/>
  <c r="P321" i="33"/>
  <c r="R334" i="33"/>
  <c r="P357" i="33"/>
  <c r="N376" i="33"/>
  <c r="N400" i="33"/>
  <c r="R418" i="33"/>
  <c r="N444" i="33"/>
  <c r="R458" i="33"/>
  <c r="N484" i="33"/>
  <c r="P501" i="33"/>
  <c r="N528" i="33"/>
  <c r="P541" i="33"/>
  <c r="N568" i="33"/>
  <c r="N594" i="33"/>
  <c r="N610" i="33"/>
  <c r="S639" i="33"/>
  <c r="O673" i="33"/>
  <c r="O749" i="33"/>
  <c r="R261" i="33"/>
  <c r="P36" i="33"/>
  <c r="R62" i="33"/>
  <c r="N155" i="33"/>
  <c r="R180" i="33"/>
  <c r="N202" i="33"/>
  <c r="P231" i="33"/>
  <c r="P266" i="33"/>
  <c r="O37" i="33"/>
  <c r="N63" i="33"/>
  <c r="S88" i="33"/>
  <c r="Q107" i="33"/>
  <c r="O134" i="33"/>
  <c r="O155" i="33"/>
  <c r="N188" i="33"/>
  <c r="P226" i="33"/>
  <c r="P273" i="33"/>
  <c r="N331" i="33"/>
  <c r="P408" i="33"/>
  <c r="P496" i="33"/>
  <c r="R619" i="33"/>
  <c r="Q191" i="33"/>
  <c r="O337" i="33"/>
  <c r="O312" i="33"/>
  <c r="Q29" i="33"/>
  <c r="Q56" i="33"/>
  <c r="P147" i="33"/>
  <c r="R172" i="33"/>
  <c r="P192" i="33"/>
  <c r="P215" i="33"/>
  <c r="N243" i="33"/>
  <c r="N31" i="33"/>
  <c r="P55" i="33"/>
  <c r="Q79" i="33"/>
  <c r="O98" i="33"/>
  <c r="Q125" i="33"/>
  <c r="O144" i="33"/>
  <c r="R174" i="33"/>
  <c r="P201" i="33"/>
  <c r="P242" i="33"/>
  <c r="P304" i="33"/>
  <c r="P368" i="33"/>
  <c r="P452" i="33"/>
  <c r="N563" i="33"/>
  <c r="N976" i="33"/>
  <c r="Q233" i="33"/>
  <c r="S489" i="33"/>
  <c r="R533" i="33"/>
  <c r="R577" i="33"/>
  <c r="Q723" i="33"/>
  <c r="O156" i="33"/>
  <c r="S196" i="33"/>
  <c r="S222" i="33"/>
  <c r="O56" i="33"/>
  <c r="O58" i="33"/>
  <c r="S66" i="33"/>
  <c r="P82" i="33"/>
  <c r="N93" i="33"/>
  <c r="R103" i="33"/>
  <c r="S64" i="33"/>
  <c r="S35" i="33"/>
  <c r="N40" i="33"/>
  <c r="S54" i="33"/>
  <c r="S65" i="33"/>
  <c r="R85" i="33"/>
  <c r="P96" i="33"/>
  <c r="N107" i="33"/>
  <c r="P37" i="33"/>
  <c r="R81" i="33"/>
  <c r="R36" i="33"/>
  <c r="Q55" i="33"/>
  <c r="P78" i="33"/>
  <c r="N89" i="33"/>
  <c r="R99" i="33"/>
  <c r="P110" i="33"/>
  <c r="N87" i="33"/>
  <c r="R97" i="33"/>
  <c r="P112" i="33"/>
  <c r="N127" i="33"/>
  <c r="P132" i="33"/>
  <c r="P138" i="33"/>
  <c r="R143" i="33"/>
  <c r="R149" i="33"/>
  <c r="O157" i="33"/>
  <c r="P171" i="33"/>
  <c r="P179" i="33"/>
  <c r="S215" i="33"/>
  <c r="N223" i="33"/>
  <c r="N230" i="33"/>
  <c r="O237" i="33"/>
  <c r="P244" i="33"/>
  <c r="P260" i="33"/>
  <c r="P272" i="33"/>
  <c r="P280" i="33"/>
  <c r="R285" i="33"/>
  <c r="N291" i="33"/>
  <c r="P296" i="33"/>
  <c r="R308" i="33"/>
  <c r="N314" i="33"/>
  <c r="P319" i="33"/>
  <c r="N326" i="33"/>
  <c r="R332" i="33"/>
  <c r="N338" i="33"/>
  <c r="P351" i="33"/>
  <c r="R356" i="33"/>
  <c r="N362" i="33"/>
  <c r="P367" i="33"/>
  <c r="R372" i="33"/>
  <c r="N378" i="33"/>
  <c r="P383" i="33"/>
  <c r="R396" i="33"/>
  <c r="N402" i="33"/>
  <c r="P407" i="33"/>
  <c r="R412" i="33"/>
  <c r="N418" i="33"/>
  <c r="P423" i="33"/>
  <c r="R428" i="33"/>
  <c r="N442" i="33"/>
  <c r="N450" i="33"/>
  <c r="R456" i="33"/>
  <c r="P463" i="33"/>
  <c r="P479" i="33"/>
  <c r="N486" i="33"/>
  <c r="R492" i="33"/>
  <c r="R500" i="33"/>
  <c r="P507" i="33"/>
  <c r="N522" i="33"/>
  <c r="N530" i="33"/>
  <c r="R536" i="33"/>
  <c r="P543" i="33"/>
  <c r="P559" i="33"/>
  <c r="N566" i="33"/>
  <c r="R572" i="33"/>
  <c r="R580" i="33"/>
  <c r="R594" i="33"/>
  <c r="P601" i="33"/>
  <c r="P609" i="33"/>
  <c r="N616" i="33"/>
  <c r="P631" i="33"/>
  <c r="S643" i="33"/>
  <c r="O657" i="33"/>
  <c r="Q677" i="33"/>
  <c r="Q719" i="33"/>
  <c r="S751" i="33"/>
  <c r="O787" i="33"/>
  <c r="S916" i="33"/>
  <c r="N1081" i="33"/>
  <c r="R30" i="33"/>
  <c r="R34" i="33"/>
  <c r="O38" i="33"/>
  <c r="O52" i="33"/>
  <c r="P56" i="33"/>
  <c r="R59" i="33"/>
  <c r="P63" i="33"/>
  <c r="O77" i="33"/>
  <c r="Q80" i="33"/>
  <c r="S83" i="33"/>
  <c r="S87" i="33"/>
  <c r="O91" i="33"/>
  <c r="Q94" i="33"/>
  <c r="Q98" i="33"/>
  <c r="S101" i="33"/>
  <c r="O105" i="33"/>
  <c r="O109" i="33"/>
  <c r="Q112" i="33"/>
  <c r="S123" i="33"/>
  <c r="S127" i="33"/>
  <c r="O131" i="33"/>
  <c r="Q134" i="33"/>
  <c r="Q138" i="33"/>
  <c r="S141" i="33"/>
  <c r="O145" i="33"/>
  <c r="O149" i="33"/>
  <c r="N153" i="33"/>
  <c r="P157" i="33"/>
  <c r="R170" i="33"/>
  <c r="O175" i="33"/>
  <c r="R179" i="33"/>
  <c r="N185" i="33"/>
  <c r="P189" i="33"/>
  <c r="S193" i="33"/>
  <c r="O199" i="33"/>
  <c r="R203" i="33"/>
  <c r="N216" i="33"/>
  <c r="P221" i="33"/>
  <c r="S225" i="33"/>
  <c r="P230" i="33"/>
  <c r="R235" i="33"/>
  <c r="N240" i="33"/>
  <c r="Q244" i="33"/>
  <c r="N250" i="33"/>
  <c r="R264" i="33"/>
  <c r="P271" i="33"/>
  <c r="P279" i="33"/>
  <c r="N286" i="33"/>
  <c r="R292" i="33"/>
  <c r="R307" i="33"/>
  <c r="P314" i="33"/>
  <c r="N321" i="33"/>
  <c r="N329" i="33"/>
  <c r="R335" i="33"/>
  <c r="P350" i="33"/>
  <c r="P358" i="33"/>
  <c r="N365" i="33"/>
  <c r="R371" i="33"/>
  <c r="R379" i="33"/>
  <c r="P386" i="33"/>
  <c r="N401" i="33"/>
  <c r="N409" i="33"/>
  <c r="R415" i="33"/>
  <c r="P422" i="33"/>
  <c r="P430" i="33"/>
  <c r="N445" i="33"/>
  <c r="R451" i="33"/>
  <c r="R459" i="33"/>
  <c r="P466" i="33"/>
  <c r="N481" i="33"/>
  <c r="N489" i="33"/>
  <c r="R495" i="33"/>
  <c r="P502" i="33"/>
  <c r="P518" i="33"/>
  <c r="R527" i="33"/>
  <c r="N537" i="33"/>
  <c r="R555" i="33"/>
  <c r="R563" i="33"/>
  <c r="N573" i="33"/>
  <c r="R583" i="33"/>
  <c r="P600" i="33"/>
  <c r="P608" i="33"/>
  <c r="N619" i="33"/>
  <c r="Q636" i="33"/>
  <c r="O655" i="33"/>
  <c r="Q689" i="33"/>
  <c r="O726" i="33"/>
  <c r="O769" i="33"/>
  <c r="N923" i="33"/>
  <c r="R111" i="33"/>
  <c r="P126" i="33"/>
  <c r="R137" i="33"/>
  <c r="N147" i="33"/>
  <c r="P156" i="33"/>
  <c r="Q178" i="33"/>
  <c r="R185" i="33"/>
  <c r="R192" i="33"/>
  <c r="S199" i="33"/>
  <c r="N215" i="33"/>
  <c r="R225" i="33"/>
  <c r="S239" i="33"/>
  <c r="N263" i="33"/>
  <c r="O34" i="33"/>
  <c r="S59" i="33"/>
  <c r="P77" i="33"/>
  <c r="R82" i="33"/>
  <c r="P87" i="33"/>
  <c r="P91" i="33"/>
  <c r="R96" i="33"/>
  <c r="P101" i="33"/>
  <c r="N106" i="33"/>
  <c r="P111" i="33"/>
  <c r="P123" i="33"/>
  <c r="N128" i="33"/>
  <c r="P133" i="33"/>
  <c r="N138" i="33"/>
  <c r="N142" i="33"/>
  <c r="O153" i="33"/>
  <c r="N178" i="33"/>
  <c r="O193" i="33"/>
  <c r="R221" i="33"/>
  <c r="S235" i="33"/>
  <c r="R259" i="33"/>
  <c r="R283" i="33"/>
  <c r="N293" i="33"/>
  <c r="N308" i="33"/>
  <c r="R318" i="33"/>
  <c r="P329" i="33"/>
  <c r="N340" i="33"/>
  <c r="R362" i="33"/>
  <c r="R374" i="33"/>
  <c r="P385" i="33"/>
  <c r="N408" i="33"/>
  <c r="N420" i="33"/>
  <c r="N432" i="33"/>
  <c r="R454" i="33"/>
  <c r="P465" i="33"/>
  <c r="P485" i="33"/>
  <c r="N500" i="33"/>
  <c r="N520" i="33"/>
  <c r="R530" i="33"/>
  <c r="P545" i="33"/>
  <c r="P565" i="33"/>
  <c r="R578" i="33"/>
  <c r="R600" i="33"/>
  <c r="P611" i="33"/>
  <c r="N632" i="33"/>
  <c r="S655" i="33"/>
  <c r="Q711" i="33"/>
  <c r="S759" i="33"/>
  <c r="N930" i="33"/>
  <c r="Q31" i="33"/>
  <c r="P40" i="33"/>
  <c r="O55" i="33"/>
  <c r="O61" i="33"/>
  <c r="R148" i="33"/>
  <c r="S171" i="33"/>
  <c r="P184" i="33"/>
  <c r="R196" i="33"/>
  <c r="N219" i="33"/>
  <c r="P232" i="33"/>
  <c r="R245" i="33"/>
  <c r="P274" i="33"/>
  <c r="R31" i="33"/>
  <c r="S37" i="33"/>
  <c r="N56" i="33"/>
  <c r="R64" i="33"/>
  <c r="O80" i="33"/>
  <c r="O90" i="33"/>
  <c r="Q99" i="33"/>
  <c r="S108" i="33"/>
  <c r="O126" i="33"/>
  <c r="O136" i="33"/>
  <c r="S144" i="33"/>
  <c r="N156" i="33"/>
  <c r="P177" i="33"/>
  <c r="N189" i="33"/>
  <c r="N204" i="33"/>
  <c r="N228" i="33"/>
  <c r="N245" i="33"/>
  <c r="N276" i="33"/>
  <c r="R309" i="33"/>
  <c r="P332" i="33"/>
  <c r="P372" i="33"/>
  <c r="P416" i="33"/>
  <c r="R453" i="33"/>
  <c r="R497" i="33"/>
  <c r="R541" i="33"/>
  <c r="N579" i="33"/>
  <c r="P632" i="33"/>
  <c r="S755" i="33"/>
  <c r="S158" i="33"/>
  <c r="S182" i="33"/>
  <c r="O200" i="33"/>
  <c r="O224" i="33"/>
  <c r="S246" i="33"/>
  <c r="Q310" i="33"/>
  <c r="S365" i="33"/>
  <c r="S455" i="33"/>
  <c r="S535" i="33"/>
  <c r="S783" i="33"/>
  <c r="O532" i="33"/>
  <c r="Q222" i="33"/>
  <c r="N234" i="33"/>
  <c r="P250" i="33"/>
  <c r="N277" i="33"/>
  <c r="R33" i="33"/>
  <c r="Q40" i="33"/>
  <c r="Q52" i="33"/>
  <c r="R58" i="33"/>
  <c r="N67" i="33"/>
  <c r="Q83" i="33"/>
  <c r="Q93" i="33"/>
  <c r="Q103" i="33"/>
  <c r="O112" i="33"/>
  <c r="O130" i="33"/>
  <c r="Q139" i="33"/>
  <c r="S148" i="33"/>
  <c r="Q168" i="33"/>
  <c r="S181" i="33"/>
  <c r="P193" i="33"/>
  <c r="P217" i="33"/>
  <c r="O235" i="33"/>
  <c r="N260" i="33"/>
  <c r="R286" i="33"/>
  <c r="R317" i="33"/>
  <c r="N351" i="33"/>
  <c r="N395" i="33"/>
  <c r="N427" i="33"/>
  <c r="P468" i="33"/>
  <c r="R517" i="33"/>
  <c r="R561" i="33"/>
  <c r="N601" i="33"/>
  <c r="S653" i="33"/>
  <c r="O937" i="33"/>
  <c r="O172" i="33"/>
  <c r="Q189" i="33"/>
  <c r="S214" i="33"/>
  <c r="Q231" i="33"/>
  <c r="Q273" i="33"/>
  <c r="O329" i="33"/>
  <c r="Q398" i="33"/>
  <c r="O489" i="33"/>
  <c r="S575" i="33"/>
  <c r="R979" i="33"/>
  <c r="P1146" i="33"/>
  <c r="R925" i="33"/>
  <c r="Q690" i="33"/>
  <c r="O894" i="33"/>
  <c r="N790" i="33"/>
  <c r="O801" i="33"/>
  <c r="S746" i="33"/>
  <c r="N995" i="33"/>
  <c r="R848" i="33"/>
  <c r="R752" i="33"/>
  <c r="N689" i="33"/>
  <c r="O1166" i="33"/>
  <c r="S650" i="33"/>
  <c r="Q583" i="33"/>
  <c r="S558" i="33"/>
  <c r="S522" i="33"/>
  <c r="Q491" i="33"/>
  <c r="Q459" i="33"/>
  <c r="S422" i="33"/>
  <c r="S398" i="33"/>
  <c r="O368" i="33"/>
  <c r="O340" i="33"/>
  <c r="O326" i="33"/>
  <c r="S310" i="33"/>
  <c r="O285" i="33"/>
  <c r="S267" i="33"/>
  <c r="S249" i="33"/>
  <c r="R888" i="33"/>
  <c r="R790" i="33"/>
  <c r="R924" i="33"/>
  <c r="O836" i="33"/>
  <c r="O767" i="33"/>
  <c r="Q725" i="33"/>
  <c r="O682" i="33"/>
  <c r="O658" i="33"/>
  <c r="O642" i="33"/>
  <c r="S620" i="33"/>
  <c r="S612" i="33"/>
  <c r="O606" i="33"/>
  <c r="O596" i="33"/>
  <c r="Q580" i="33"/>
  <c r="Q572" i="33"/>
  <c r="Q562" i="33"/>
  <c r="S555" i="33"/>
  <c r="S539" i="33"/>
  <c r="O533" i="33"/>
  <c r="Q526" i="33"/>
  <c r="S519" i="33"/>
  <c r="Q506" i="33"/>
  <c r="S499" i="33"/>
  <c r="O493" i="33"/>
  <c r="O487" i="33"/>
  <c r="S479" i="33"/>
  <c r="Q466" i="33"/>
  <c r="Q460" i="33"/>
  <c r="O453" i="33"/>
  <c r="O447" i="33"/>
  <c r="S441" i="33"/>
  <c r="Q426" i="33"/>
  <c r="Q420" i="33"/>
  <c r="Q414" i="33"/>
  <c r="O407" i="33"/>
  <c r="S401" i="33"/>
  <c r="S395" i="33"/>
  <c r="Q380" i="33"/>
  <c r="Q374" i="33"/>
  <c r="O369" i="33"/>
  <c r="O363" i="33"/>
  <c r="Q358" i="33"/>
  <c r="S353" i="33"/>
  <c r="Q340" i="33"/>
  <c r="Q336" i="33"/>
  <c r="S331" i="33"/>
  <c r="Q326" i="33"/>
  <c r="S321" i="33"/>
  <c r="S317" i="33"/>
  <c r="Q312" i="33"/>
  <c r="S307" i="33"/>
  <c r="O296" i="33"/>
  <c r="S290" i="33"/>
  <c r="S286" i="33"/>
  <c r="O282" i="33"/>
  <c r="S276" i="33"/>
  <c r="O272" i="33"/>
  <c r="O268" i="33"/>
  <c r="S262" i="33"/>
  <c r="O250" i="33"/>
  <c r="Q245" i="33"/>
  <c r="O240" i="33"/>
  <c r="O236" i="33"/>
  <c r="R1083" i="33"/>
  <c r="S711" i="33"/>
  <c r="R956" i="33"/>
  <c r="Q802" i="33"/>
  <c r="R742" i="33"/>
  <c r="R679" i="33"/>
  <c r="O844" i="33"/>
  <c r="O634" i="33"/>
  <c r="S578" i="33"/>
  <c r="O542" i="33"/>
  <c r="O518" i="33"/>
  <c r="O486" i="33"/>
  <c r="Q449" i="33"/>
  <c r="S418" i="33"/>
  <c r="S386" i="33"/>
  <c r="S362" i="33"/>
  <c r="Q339" i="33"/>
  <c r="Q321" i="33"/>
  <c r="S295" i="33"/>
  <c r="S281" i="33"/>
  <c r="S265" i="33"/>
  <c r="R1003" i="33"/>
  <c r="R872" i="33"/>
  <c r="Q1359" i="33"/>
  <c r="P887" i="33"/>
  <c r="S809" i="33"/>
  <c r="Q764" i="33"/>
  <c r="S714" i="33"/>
  <c r="S676" i="33"/>
  <c r="O654" i="33"/>
  <c r="Q635" i="33"/>
  <c r="O620" i="33"/>
  <c r="O612" i="33"/>
  <c r="O602" i="33"/>
  <c r="O594" i="33"/>
  <c r="S579" i="33"/>
  <c r="S569" i="33"/>
  <c r="S561" i="33"/>
  <c r="O545" i="33"/>
  <c r="S537" i="33"/>
  <c r="Q530" i="33"/>
  <c r="O525" i="33"/>
  <c r="O519" i="33"/>
  <c r="S503" i="33"/>
  <c r="S497" i="33"/>
  <c r="Q492" i="33"/>
  <c r="O485" i="33"/>
  <c r="O479" i="33"/>
  <c r="O465" i="33"/>
  <c r="S457" i="33"/>
  <c r="Q452" i="33"/>
  <c r="Q446" i="33"/>
  <c r="O431" i="33"/>
  <c r="O425" i="33"/>
  <c r="S419" i="33"/>
  <c r="Q412" i="33"/>
  <c r="Q406" i="33"/>
  <c r="S399" i="33"/>
  <c r="O385" i="33"/>
  <c r="S379" i="33"/>
  <c r="O373" i="33"/>
  <c r="Q366" i="33"/>
  <c r="S361" i="33"/>
  <c r="S357" i="33"/>
  <c r="Q352" i="33"/>
  <c r="S339" i="33"/>
  <c r="O335" i="33"/>
  <c r="S329" i="33"/>
  <c r="S325" i="33"/>
  <c r="O321" i="33"/>
  <c r="S315" i="33"/>
  <c r="O311" i="33"/>
  <c r="O307" i="33"/>
  <c r="S294" i="33"/>
  <c r="O290" i="33"/>
  <c r="Q285" i="33"/>
  <c r="O280" i="33"/>
  <c r="O276" i="33"/>
  <c r="Q271" i="33"/>
  <c r="O266" i="33"/>
  <c r="Q261" i="33"/>
  <c r="Q249" i="33"/>
  <c r="O244" i="33"/>
  <c r="O838" i="33"/>
  <c r="R725" i="33"/>
  <c r="Q768" i="33"/>
  <c r="S568" i="33"/>
  <c r="Q505" i="33"/>
  <c r="Q445" i="33"/>
  <c r="S376" i="33"/>
  <c r="O336" i="33"/>
  <c r="Q294" i="33"/>
  <c r="O261" i="33"/>
  <c r="S842" i="33"/>
  <c r="R876" i="33"/>
  <c r="O751" i="33"/>
  <c r="Q675" i="33"/>
  <c r="S633" i="33"/>
  <c r="S608" i="33"/>
  <c r="S592" i="33"/>
  <c r="O567" i="33"/>
  <c r="O543" i="33"/>
  <c r="S529" i="33"/>
  <c r="Q516" i="33"/>
  <c r="O497" i="33"/>
  <c r="S483" i="33"/>
  <c r="O463" i="33"/>
  <c r="Q450" i="33"/>
  <c r="Q430" i="33"/>
  <c r="O417" i="33"/>
  <c r="O405" i="33"/>
  <c r="S383" i="33"/>
  <c r="Q370" i="33"/>
  <c r="O361" i="33"/>
  <c r="O351" i="33"/>
  <c r="S333" i="33"/>
  <c r="Q324" i="33"/>
  <c r="O315" i="33"/>
  <c r="O305" i="33"/>
  <c r="Q289" i="33"/>
  <c r="Q279" i="33"/>
  <c r="Q269" i="33"/>
  <c r="S260" i="33"/>
  <c r="R1087" i="33"/>
  <c r="P706" i="33"/>
  <c r="O724" i="33"/>
  <c r="O564" i="33"/>
  <c r="O496" i="33"/>
  <c r="S432" i="33"/>
  <c r="O372" i="33"/>
  <c r="Q329" i="33"/>
  <c r="Q290" i="33"/>
  <c r="Q250" i="33"/>
  <c r="P801" i="33"/>
  <c r="S846" i="33"/>
  <c r="S745" i="33"/>
  <c r="S668" i="33"/>
  <c r="Q632" i="33"/>
  <c r="S606" i="33"/>
  <c r="O581" i="33"/>
  <c r="Q566" i="33"/>
  <c r="Q540" i="33"/>
  <c r="O529" i="33"/>
  <c r="S507" i="33"/>
  <c r="Q494" i="33"/>
  <c r="Q482" i="33"/>
  <c r="O461" i="33"/>
  <c r="O449" i="33"/>
  <c r="Q428" i="33"/>
  <c r="S415" i="33"/>
  <c r="Q402" i="33"/>
  <c r="O383" i="33"/>
  <c r="S369" i="33"/>
  <c r="O359" i="33"/>
  <c r="Q350" i="33"/>
  <c r="Q332" i="33"/>
  <c r="O323" i="33"/>
  <c r="S313" i="33"/>
  <c r="Q304" i="33"/>
  <c r="Q287" i="33"/>
  <c r="S278" i="33"/>
  <c r="S268" i="33"/>
  <c r="S250" i="33"/>
  <c r="O242" i="33"/>
  <c r="S234" i="33"/>
  <c r="Q229" i="33"/>
  <c r="Q225" i="33"/>
  <c r="S220" i="33"/>
  <c r="Q215" i="33"/>
  <c r="S202" i="33"/>
  <c r="S198" i="33"/>
  <c r="Q193" i="33"/>
  <c r="S188" i="33"/>
  <c r="O184" i="33"/>
  <c r="S178" i="33"/>
  <c r="S174" i="33"/>
  <c r="O170" i="33"/>
  <c r="S156" i="33"/>
  <c r="O152" i="33"/>
  <c r="N902" i="33"/>
  <c r="Q766" i="33"/>
  <c r="O718" i="33"/>
  <c r="S673" i="33"/>
  <c r="O643" i="33"/>
  <c r="N631" i="33"/>
  <c r="N613" i="33"/>
  <c r="P602" i="33"/>
  <c r="N593" i="33"/>
  <c r="P576" i="33"/>
  <c r="R565" i="33"/>
  <c r="P556" i="33"/>
  <c r="N539" i="33"/>
  <c r="P528" i="33"/>
  <c r="P520" i="33"/>
  <c r="N503" i="33"/>
  <c r="P492" i="33"/>
  <c r="N483" i="33"/>
  <c r="N467" i="33"/>
  <c r="P456" i="33"/>
  <c r="N447" i="33"/>
  <c r="R429" i="33"/>
  <c r="N419" i="33"/>
  <c r="N411" i="33"/>
  <c r="R401" i="33"/>
  <c r="N383" i="33"/>
  <c r="R373" i="33"/>
  <c r="R365" i="33"/>
  <c r="N355" i="33"/>
  <c r="S876" i="33"/>
  <c r="S615" i="33"/>
  <c r="Q469" i="33"/>
  <c r="O358" i="33"/>
  <c r="Q276" i="33"/>
  <c r="S1001" i="33"/>
  <c r="Q709" i="33"/>
  <c r="Q617" i="33"/>
  <c r="P779" i="33"/>
  <c r="S597" i="33"/>
  <c r="O464" i="33"/>
  <c r="Q357" i="33"/>
  <c r="S271" i="33"/>
  <c r="R963" i="33"/>
  <c r="Q695" i="33"/>
  <c r="Q615" i="33"/>
  <c r="Q574" i="33"/>
  <c r="Q534" i="33"/>
  <c r="O501" i="33"/>
  <c r="S467" i="33"/>
  <c r="Q442" i="33"/>
  <c r="S409" i="33"/>
  <c r="S375" i="33"/>
  <c r="O355" i="33"/>
  <c r="Q328" i="33"/>
  <c r="Q308" i="33"/>
  <c r="S282" i="33"/>
  <c r="O264" i="33"/>
  <c r="Q239" i="33"/>
  <c r="O232" i="33"/>
  <c r="O226" i="33"/>
  <c r="S218" i="33"/>
  <c r="Q205" i="33"/>
  <c r="Q199" i="33"/>
  <c r="O192" i="33"/>
  <c r="O186" i="33"/>
  <c r="S180" i="33"/>
  <c r="Q173" i="33"/>
  <c r="Q159" i="33"/>
  <c r="Q153" i="33"/>
  <c r="Q829" i="33"/>
  <c r="Q750" i="33"/>
  <c r="Q681" i="33"/>
  <c r="Q640" i="33"/>
  <c r="N617" i="33"/>
  <c r="P606" i="33"/>
  <c r="N583" i="33"/>
  <c r="N571" i="33"/>
  <c r="R557" i="33"/>
  <c r="P536" i="33"/>
  <c r="R525" i="33"/>
  <c r="P504" i="33"/>
  <c r="N491" i="33"/>
  <c r="R469" i="33"/>
  <c r="N459" i="33"/>
  <c r="R445" i="33"/>
  <c r="P424" i="33"/>
  <c r="P412" i="33"/>
  <c r="R397" i="33"/>
  <c r="N379" i="33"/>
  <c r="N367" i="33"/>
  <c r="P352" i="33"/>
  <c r="P336" i="33"/>
  <c r="R325" i="33"/>
  <c r="P316" i="33"/>
  <c r="N307" i="33"/>
  <c r="P289" i="33"/>
  <c r="P281" i="33"/>
  <c r="N272" i="33"/>
  <c r="P261" i="33"/>
  <c r="S245" i="33"/>
  <c r="Q240" i="33"/>
  <c r="P233" i="33"/>
  <c r="O227" i="33"/>
  <c r="N221" i="33"/>
  <c r="S205" i="33"/>
  <c r="Q200" i="33"/>
  <c r="O195" i="33"/>
  <c r="S189" i="33"/>
  <c r="P185" i="33"/>
  <c r="N181" i="33"/>
  <c r="R175" i="33"/>
  <c r="O171" i="33"/>
  <c r="R158" i="33"/>
  <c r="P153" i="33"/>
  <c r="Q149" i="33"/>
  <c r="O146" i="33"/>
  <c r="O142" i="33"/>
  <c r="S138" i="33"/>
  <c r="Q135" i="33"/>
  <c r="Q131" i="33"/>
  <c r="O128" i="33"/>
  <c r="S124" i="33"/>
  <c r="S112" i="33"/>
  <c r="Q109" i="33"/>
  <c r="O106" i="33"/>
  <c r="O102" i="33"/>
  <c r="S98" i="33"/>
  <c r="Q95" i="33"/>
  <c r="Q91" i="33"/>
  <c r="O88" i="33"/>
  <c r="S84" i="33"/>
  <c r="S80" i="33"/>
  <c r="Q77" i="33"/>
  <c r="R66" i="33"/>
  <c r="R63" i="33"/>
  <c r="R60" i="33"/>
  <c r="P57" i="33"/>
  <c r="S53" i="33"/>
  <c r="S39" i="33"/>
  <c r="Q36" i="33"/>
  <c r="P32" i="33"/>
  <c r="N29" i="33"/>
  <c r="N273" i="33"/>
  <c r="N261" i="33"/>
  <c r="R244" i="33"/>
  <c r="R236" i="33"/>
  <c r="S227" i="33"/>
  <c r="R220" i="33"/>
  <c r="R205" i="33"/>
  <c r="R197" i="33"/>
  <c r="Q190" i="33"/>
  <c r="P183" i="33"/>
  <c r="Q174" i="33"/>
  <c r="P159" i="33"/>
  <c r="P152" i="33"/>
  <c r="P145" i="33"/>
  <c r="N62" i="33"/>
  <c r="S57" i="33"/>
  <c r="P38" i="33"/>
  <c r="Q33" i="33"/>
  <c r="P327" i="33"/>
  <c r="P134" i="33"/>
  <c r="Q808" i="33"/>
  <c r="O765" i="33"/>
  <c r="S732" i="33"/>
  <c r="S690" i="33"/>
  <c r="Q670" i="33"/>
  <c r="Q650" i="33"/>
  <c r="R634" i="33"/>
  <c r="R620" i="33"/>
  <c r="N614" i="33"/>
  <c r="N606" i="33"/>
  <c r="P599" i="33"/>
  <c r="R592" i="33"/>
  <c r="N576" i="33"/>
  <c r="P569" i="33"/>
  <c r="R562" i="33"/>
  <c r="R554" i="33"/>
  <c r="N540" i="33"/>
  <c r="P533" i="33"/>
  <c r="P525" i="33"/>
  <c r="R518" i="33"/>
  <c r="N504" i="33"/>
  <c r="N496" i="33"/>
  <c r="P489" i="33"/>
  <c r="R482" i="33"/>
  <c r="R466" i="33"/>
  <c r="N460" i="33"/>
  <c r="P453" i="33"/>
  <c r="P445" i="33"/>
  <c r="R430" i="33"/>
  <c r="N424" i="33"/>
  <c r="N416" i="33"/>
  <c r="P409" i="33"/>
  <c r="R402" i="33"/>
  <c r="R386" i="33"/>
  <c r="N380" i="33"/>
  <c r="P373" i="33"/>
  <c r="P365" i="33"/>
  <c r="R358" i="33"/>
  <c r="N352" i="33"/>
  <c r="N336" i="33"/>
  <c r="S536" i="33"/>
  <c r="Q317" i="33"/>
  <c r="Q800" i="33"/>
  <c r="Q601" i="33"/>
  <c r="Q556" i="33"/>
  <c r="O503" i="33"/>
  <c r="O457" i="33"/>
  <c r="O421" i="33"/>
  <c r="S377" i="33"/>
  <c r="O339" i="33"/>
  <c r="Q318" i="33"/>
  <c r="O284" i="33"/>
  <c r="Q247" i="33"/>
  <c r="S236" i="33"/>
  <c r="O228" i="33"/>
  <c r="O218" i="33"/>
  <c r="O202" i="33"/>
  <c r="S194" i="33"/>
  <c r="Q185" i="33"/>
  <c r="Q177" i="33"/>
  <c r="O168" i="33"/>
  <c r="Q151" i="33"/>
  <c r="S785" i="33"/>
  <c r="S686" i="33"/>
  <c r="S637" i="33"/>
  <c r="N609" i="33"/>
  <c r="R595" i="33"/>
  <c r="P568" i="33"/>
  <c r="N543" i="33"/>
  <c r="N527" i="33"/>
  <c r="N499" i="33"/>
  <c r="R485" i="33"/>
  <c r="R461" i="33"/>
  <c r="R441" i="33"/>
  <c r="R417" i="33"/>
  <c r="N403" i="33"/>
  <c r="P376" i="33"/>
  <c r="P360" i="33"/>
  <c r="R337" i="33"/>
  <c r="N323" i="33"/>
  <c r="N311" i="33"/>
  <c r="P293" i="33"/>
  <c r="R278" i="33"/>
  <c r="R266" i="33"/>
  <c r="R247" i="33"/>
  <c r="S237" i="33"/>
  <c r="R230" i="33"/>
  <c r="R222" i="33"/>
  <c r="N205" i="33"/>
  <c r="N197" i="33"/>
  <c r="R191" i="33"/>
  <c r="Q184" i="33"/>
  <c r="P178" i="33"/>
  <c r="N172" i="33"/>
  <c r="N157" i="33"/>
  <c r="R151" i="33"/>
  <c r="S146" i="33"/>
  <c r="Q141" i="33"/>
  <c r="S136" i="33"/>
  <c r="S132" i="33"/>
  <c r="Q127" i="33"/>
  <c r="S122" i="33"/>
  <c r="O110" i="33"/>
  <c r="S104" i="33"/>
  <c r="S100" i="33"/>
  <c r="O96" i="33"/>
  <c r="S90" i="33"/>
  <c r="O86" i="33"/>
  <c r="O82" i="33"/>
  <c r="S68" i="33"/>
  <c r="N65" i="33"/>
  <c r="P61" i="33"/>
  <c r="R643" i="33"/>
  <c r="O404" i="33"/>
  <c r="Q926" i="33"/>
  <c r="Q643" i="33"/>
  <c r="S559" i="33"/>
  <c r="S521" i="33"/>
  <c r="Q470" i="33"/>
  <c r="S423" i="33"/>
  <c r="Q396" i="33"/>
  <c r="S355" i="33"/>
  <c r="O319" i="33"/>
  <c r="S292" i="33"/>
  <c r="Q265" i="33"/>
  <c r="S238" i="33"/>
  <c r="S228" i="33"/>
  <c r="Q221" i="33"/>
  <c r="O204" i="33"/>
  <c r="O196" i="33"/>
  <c r="O188" i="33"/>
  <c r="O178" i="33"/>
  <c r="S170" i="33"/>
  <c r="S154" i="33"/>
  <c r="S813" i="33"/>
  <c r="S712" i="33"/>
  <c r="O651" i="33"/>
  <c r="P614" i="33"/>
  <c r="P598" i="33"/>
  <c r="P572" i="33"/>
  <c r="N555" i="33"/>
  <c r="P532" i="33"/>
  <c r="N507" i="33"/>
  <c r="P488" i="33"/>
  <c r="N463" i="33"/>
  <c r="P448" i="33"/>
  <c r="N423" i="33"/>
  <c r="R405" i="33"/>
  <c r="R381" i="33"/>
  <c r="R361" i="33"/>
  <c r="N339" i="33"/>
  <c r="P328" i="33"/>
  <c r="N315" i="33"/>
  <c r="R294" i="33"/>
  <c r="R282" i="33"/>
  <c r="N268" i="33"/>
  <c r="P249" i="33"/>
  <c r="P241" i="33"/>
  <c r="R231" i="33"/>
  <c r="R223" i="33"/>
  <c r="Q216" i="33"/>
  <c r="R198" i="33"/>
  <c r="Q192" i="33"/>
  <c r="P186" i="33"/>
  <c r="O179" i="33"/>
  <c r="S173" i="33"/>
  <c r="R159" i="33"/>
  <c r="Q152" i="33"/>
  <c r="Q147" i="33"/>
  <c r="Q143" i="33"/>
  <c r="O138" i="33"/>
  <c r="Q133" i="33"/>
  <c r="S128" i="33"/>
  <c r="Q123" i="33"/>
  <c r="Q111" i="33"/>
  <c r="S106" i="33"/>
  <c r="Q101" i="33"/>
  <c r="S96" i="33"/>
  <c r="S92" i="33"/>
  <c r="Q87" i="33"/>
  <c r="S82" i="33"/>
  <c r="O78" i="33"/>
  <c r="R65" i="33"/>
  <c r="S62" i="33"/>
  <c r="N58" i="33"/>
  <c r="O53" i="33"/>
  <c r="O39" i="33"/>
  <c r="P34" i="33"/>
  <c r="R29" i="33"/>
  <c r="N269" i="33"/>
  <c r="O249" i="33"/>
  <c r="Q238" i="33"/>
  <c r="N227" i="33"/>
  <c r="P216" i="33"/>
  <c r="P200" i="33"/>
  <c r="R189" i="33"/>
  <c r="N179" i="33"/>
  <c r="O169" i="33"/>
  <c r="N150" i="33"/>
  <c r="Q66" i="33"/>
  <c r="Q58" i="33"/>
  <c r="Q35" i="33"/>
  <c r="P276" i="33"/>
  <c r="R896" i="33"/>
  <c r="Q770" i="33"/>
  <c r="O722" i="33"/>
  <c r="O680" i="33"/>
  <c r="O653" i="33"/>
  <c r="P633" i="33"/>
  <c r="R616" i="33"/>
  <c r="R608" i="33"/>
  <c r="N598" i="33"/>
  <c r="N580" i="33"/>
  <c r="R570" i="33"/>
  <c r="N560" i="33"/>
  <c r="N544" i="33"/>
  <c r="R534" i="33"/>
  <c r="N524" i="33"/>
  <c r="R506" i="33"/>
  <c r="R498" i="33"/>
  <c r="N488" i="33"/>
  <c r="R470" i="33"/>
  <c r="P461" i="33"/>
  <c r="R450" i="33"/>
  <c r="R442" i="33"/>
  <c r="P425" i="33"/>
  <c r="R414" i="33"/>
  <c r="P405" i="33"/>
  <c r="P397" i="33"/>
  <c r="R378" i="33"/>
  <c r="P369" i="33"/>
  <c r="N360" i="33"/>
  <c r="P341" i="33"/>
  <c r="P333" i="33"/>
  <c r="P325" i="33"/>
  <c r="P317" i="33"/>
  <c r="R310" i="33"/>
  <c r="R295" i="33"/>
  <c r="N289" i="33"/>
  <c r="N281" i="33"/>
  <c r="R263" i="33"/>
  <c r="N242" i="33"/>
  <c r="Q230" i="33"/>
  <c r="N218" i="33"/>
  <c r="S195" i="33"/>
  <c r="O185" i="33"/>
  <c r="N171" i="33"/>
  <c r="P151" i="33"/>
  <c r="P143" i="33"/>
  <c r="P139" i="33"/>
  <c r="N136" i="33"/>
  <c r="R132" i="33"/>
  <c r="R128" i="33"/>
  <c r="P125" i="33"/>
  <c r="N122" i="33"/>
  <c r="N110" i="33"/>
  <c r="R106" i="33"/>
  <c r="P103" i="33"/>
  <c r="P99" i="33"/>
  <c r="N96" i="33"/>
  <c r="R92" i="33"/>
  <c r="R88" i="33"/>
  <c r="P85" i="33"/>
  <c r="N82" i="33"/>
  <c r="N78" i="33"/>
  <c r="Q64" i="33"/>
  <c r="R53" i="33"/>
  <c r="N39" i="33"/>
  <c r="R324" i="33"/>
  <c r="N247" i="33"/>
  <c r="N238" i="33"/>
  <c r="O229" i="33"/>
  <c r="Q218" i="33"/>
  <c r="P203" i="33"/>
  <c r="N199" i="33"/>
  <c r="R193" i="33"/>
  <c r="O189" i="33"/>
  <c r="S183" i="33"/>
  <c r="S175" i="33"/>
  <c r="N158" i="33"/>
  <c r="P150" i="33"/>
  <c r="N143" i="33"/>
  <c r="P136" i="33"/>
  <c r="N129" i="33"/>
  <c r="R113" i="33"/>
  <c r="P1102" i="33"/>
  <c r="P891" i="33"/>
  <c r="O783" i="33"/>
  <c r="S747" i="33"/>
  <c r="Q715" i="33"/>
  <c r="S678" i="33"/>
  <c r="S657" i="33"/>
  <c r="Q644" i="33"/>
  <c r="R631" i="33"/>
  <c r="R617" i="33"/>
  <c r="N611" i="33"/>
  <c r="N603" i="33"/>
  <c r="P596" i="33"/>
  <c r="P582" i="33"/>
  <c r="P574" i="33"/>
  <c r="R567" i="33"/>
  <c r="N561" i="33"/>
  <c r="N545" i="33"/>
  <c r="P538" i="33"/>
  <c r="R531" i="33"/>
  <c r="R523" i="33"/>
  <c r="N517" i="33"/>
  <c r="R503" i="33"/>
  <c r="P498" i="33"/>
  <c r="N493" i="33"/>
  <c r="R487" i="33"/>
  <c r="P482" i="33"/>
  <c r="N469" i="33"/>
  <c r="R463" i="33"/>
  <c r="P458" i="33"/>
  <c r="N453" i="33"/>
  <c r="R447" i="33"/>
  <c r="P442" i="33"/>
  <c r="N429" i="33"/>
  <c r="R423" i="33"/>
  <c r="P418" i="33"/>
  <c r="N413" i="33"/>
  <c r="R407" i="33"/>
  <c r="P402" i="33"/>
  <c r="N397" i="33"/>
  <c r="R383" i="33"/>
  <c r="P378" i="33"/>
  <c r="N373" i="33"/>
  <c r="R367" i="33"/>
  <c r="P362" i="33"/>
  <c r="N357" i="33"/>
  <c r="R351" i="33"/>
  <c r="P338" i="33"/>
  <c r="N333" i="33"/>
  <c r="R327" i="33"/>
  <c r="P322" i="33"/>
  <c r="N317" i="33"/>
  <c r="R311" i="33"/>
  <c r="P306" i="33"/>
  <c r="N294" i="33"/>
  <c r="R288" i="33"/>
  <c r="P283" i="33"/>
  <c r="N278" i="33"/>
  <c r="R272" i="33"/>
  <c r="P267" i="33"/>
  <c r="N262" i="33"/>
  <c r="N249" i="33"/>
  <c r="P245" i="33"/>
  <c r="S241" i="33"/>
  <c r="P238" i="33"/>
  <c r="R234" i="33"/>
  <c r="O231" i="33"/>
  <c r="R227" i="33"/>
  <c r="N224" i="33"/>
  <c r="Q220" i="33"/>
  <c r="N217" i="33"/>
  <c r="P205" i="33"/>
  <c r="S201" i="33"/>
  <c r="P198" i="33"/>
  <c r="R194" i="33"/>
  <c r="O191" i="33"/>
  <c r="R187" i="33"/>
  <c r="N184" i="33"/>
  <c r="Q180" i="33"/>
  <c r="N177" i="33"/>
  <c r="P173" i="33"/>
  <c r="S169" i="33"/>
  <c r="P158" i="33"/>
  <c r="R154" i="33"/>
  <c r="O151" i="33"/>
  <c r="Q148" i="33"/>
  <c r="S145" i="33"/>
  <c r="O143" i="33"/>
  <c r="Q140" i="33"/>
  <c r="S137" i="33"/>
  <c r="O135" i="33"/>
  <c r="Q132" i="33"/>
  <c r="S129" i="33"/>
  <c r="O127" i="33"/>
  <c r="Q124" i="33"/>
  <c r="S113" i="33"/>
  <c r="O111" i="33"/>
  <c r="Q108" i="33"/>
  <c r="S105" i="33"/>
  <c r="O103" i="33"/>
  <c r="Q100" i="33"/>
  <c r="S97" i="33"/>
  <c r="O95" i="33"/>
  <c r="Q92" i="33"/>
  <c r="S89" i="33"/>
  <c r="O87" i="33"/>
  <c r="Q84" i="33"/>
  <c r="S81" i="33"/>
  <c r="O79" i="33"/>
  <c r="Q68" i="33"/>
  <c r="P64" i="33"/>
  <c r="N61" i="33"/>
  <c r="P58" i="33"/>
  <c r="R55" i="33"/>
  <c r="S52" i="33"/>
  <c r="Q39" i="33"/>
  <c r="S36" i="33"/>
  <c r="N34" i="33"/>
  <c r="P31" i="33"/>
  <c r="Q1175" i="33"/>
  <c r="N1000" i="33"/>
  <c r="P907" i="33"/>
  <c r="R799" i="33"/>
  <c r="Q762" i="33"/>
  <c r="O741" i="33"/>
  <c r="O714" i="33"/>
  <c r="S682" i="33"/>
  <c r="O669" i="33"/>
  <c r="S651" i="33"/>
  <c r="O641" i="33"/>
  <c r="R632" i="33"/>
  <c r="R618" i="33"/>
  <c r="P613" i="33"/>
  <c r="N608" i="33"/>
  <c r="R602" i="33"/>
  <c r="P597" i="33"/>
  <c r="N592" i="33"/>
  <c r="P579" i="33"/>
  <c r="N574" i="33"/>
  <c r="R568" i="33"/>
  <c r="P563" i="33"/>
  <c r="N558" i="33"/>
  <c r="R544" i="33"/>
  <c r="P539" i="33"/>
  <c r="N534" i="33"/>
  <c r="R528" i="33"/>
  <c r="P523" i="33"/>
  <c r="N518" i="33"/>
  <c r="R504" i="33"/>
  <c r="P499" i="33"/>
  <c r="N494" i="33"/>
  <c r="R488" i="33"/>
  <c r="P483" i="33"/>
  <c r="N470" i="33"/>
  <c r="R464" i="33"/>
  <c r="P459" i="33"/>
  <c r="N454" i="33"/>
  <c r="R448" i="33"/>
  <c r="P443" i="33"/>
  <c r="Q181" i="33"/>
  <c r="S242" i="33"/>
  <c r="Q293" i="33"/>
  <c r="Q364" i="33"/>
  <c r="S443" i="33"/>
  <c r="S523" i="33"/>
  <c r="S648" i="33"/>
  <c r="Q413" i="33"/>
  <c r="S543" i="33"/>
  <c r="Q558" i="33"/>
  <c r="O565" i="33"/>
  <c r="Q570" i="33"/>
  <c r="O577" i="33"/>
  <c r="S583" i="33"/>
  <c r="O598" i="33"/>
  <c r="Q603" i="33"/>
  <c r="O610" i="33"/>
  <c r="S616" i="33"/>
  <c r="Q630" i="33"/>
  <c r="S640" i="33"/>
  <c r="Q651" i="33"/>
  <c r="O670" i="33"/>
  <c r="S692" i="33"/>
  <c r="S722" i="33"/>
  <c r="S753" i="33"/>
  <c r="P793" i="33"/>
  <c r="Q841" i="33"/>
  <c r="N898" i="33"/>
  <c r="P1009" i="33"/>
  <c r="Q837" i="33"/>
  <c r="Q919" i="33"/>
  <c r="S1032" i="33"/>
  <c r="S263" i="33"/>
  <c r="S275" i="33"/>
  <c r="Q286" i="33"/>
  <c r="Q307" i="33"/>
  <c r="S320" i="33"/>
  <c r="Q331" i="33"/>
  <c r="Q353" i="33"/>
  <c r="O366" i="33"/>
  <c r="O382" i="33"/>
  <c r="S408" i="33"/>
  <c r="Q427" i="33"/>
  <c r="S454" i="33"/>
  <c r="Q481" i="33"/>
  <c r="O500" i="33"/>
  <c r="O528" i="33"/>
  <c r="S554" i="33"/>
  <c r="Q573" i="33"/>
  <c r="S605" i="33"/>
  <c r="O678" i="33"/>
  <c r="N960" i="33"/>
  <c r="R669" i="33"/>
  <c r="R715" i="33"/>
  <c r="R762" i="33"/>
  <c r="N830" i="33"/>
  <c r="S921" i="33"/>
  <c r="S677" i="33"/>
  <c r="O780" i="33"/>
  <c r="N672" i="33"/>
  <c r="Q956" i="33"/>
  <c r="P1086" i="33"/>
  <c r="O811" i="33"/>
  <c r="P883" i="33"/>
  <c r="P958" i="33"/>
  <c r="R1284" i="33"/>
  <c r="Q262" i="33"/>
  <c r="O271" i="33"/>
  <c r="S279" i="33"/>
  <c r="S289" i="33"/>
  <c r="S306" i="33"/>
  <c r="Q315" i="33"/>
  <c r="Q325" i="33"/>
  <c r="S334" i="33"/>
  <c r="O352" i="33"/>
  <c r="Q361" i="33"/>
  <c r="Q371" i="33"/>
  <c r="O380" i="33"/>
  <c r="O398" i="33"/>
  <c r="O408" i="33"/>
  <c r="S416" i="33"/>
  <c r="S426" i="33"/>
  <c r="O444" i="33"/>
  <c r="Q453" i="33"/>
  <c r="S462" i="33"/>
  <c r="S480" i="33"/>
  <c r="Q489" i="33"/>
  <c r="Q499" i="33"/>
  <c r="Q517" i="33"/>
  <c r="O526" i="33"/>
  <c r="O536" i="33"/>
  <c r="Q545" i="33"/>
  <c r="S562" i="33"/>
  <c r="O572" i="33"/>
  <c r="S582" i="33"/>
  <c r="O605" i="33"/>
  <c r="O632" i="33"/>
  <c r="S674" i="33"/>
  <c r="O763" i="33"/>
  <c r="P928" i="33"/>
  <c r="N643" i="33"/>
  <c r="N669" i="33"/>
  <c r="R687" i="33"/>
  <c r="N715" i="33"/>
  <c r="N742" i="33"/>
  <c r="R760" i="33"/>
  <c r="P788" i="33"/>
  <c r="P827" i="33"/>
  <c r="S872" i="33"/>
  <c r="N920" i="33"/>
  <c r="O993" i="33"/>
  <c r="P1269" i="33"/>
  <c r="O711" i="33"/>
  <c r="O770" i="33"/>
  <c r="O916" i="33"/>
  <c r="P671" i="33"/>
  <c r="O1093" i="33"/>
  <c r="O376" i="33"/>
  <c r="Q385" i="33"/>
  <c r="S402" i="33"/>
  <c r="O412" i="33"/>
  <c r="O422" i="33"/>
  <c r="S430" i="33"/>
  <c r="S448" i="33"/>
  <c r="S458" i="33"/>
  <c r="Q467" i="33"/>
  <c r="Q485" i="33"/>
  <c r="S494" i="33"/>
  <c r="O504" i="33"/>
  <c r="Q521" i="33"/>
  <c r="Q531" i="33"/>
  <c r="O540" i="33"/>
  <c r="O558" i="33"/>
  <c r="O568" i="33"/>
  <c r="S576" i="33"/>
  <c r="O597" i="33"/>
  <c r="O615" i="33"/>
  <c r="Q649" i="33"/>
  <c r="S718" i="33"/>
  <c r="S838" i="33"/>
  <c r="O1148" i="33"/>
  <c r="R651" i="33"/>
  <c r="P678" i="33"/>
  <c r="N705" i="33"/>
  <c r="R723" i="33"/>
  <c r="N752" i="33"/>
  <c r="R770" i="33"/>
  <c r="R800" i="33"/>
  <c r="P847" i="33"/>
  <c r="S892" i="33"/>
  <c r="O943" i="33"/>
  <c r="N1077" i="33"/>
  <c r="Q688" i="33"/>
  <c r="O744" i="33"/>
  <c r="S832" i="33"/>
  <c r="P1078" i="33"/>
  <c r="R781" i="33"/>
  <c r="R519" i="33"/>
  <c r="N525" i="33"/>
  <c r="P530" i="33"/>
  <c r="R535" i="33"/>
  <c r="N541" i="33"/>
  <c r="P554" i="33"/>
  <c r="R559" i="33"/>
  <c r="N565" i="33"/>
  <c r="P570" i="33"/>
  <c r="R575" i="33"/>
  <c r="N581" i="33"/>
  <c r="R593" i="33"/>
  <c r="N599" i="33"/>
  <c r="P604" i="33"/>
  <c r="R609" i="33"/>
  <c r="N615" i="33"/>
  <c r="P620" i="33"/>
  <c r="N633" i="33"/>
  <c r="S641" i="33"/>
  <c r="Q652" i="33"/>
  <c r="S669" i="33"/>
  <c r="O684" i="33"/>
  <c r="O710" i="33"/>
  <c r="Q731" i="33"/>
  <c r="Q758" i="33"/>
  <c r="N789" i="33"/>
  <c r="N870" i="33"/>
  <c r="O1007" i="33"/>
  <c r="N111" i="33"/>
  <c r="P122" i="33"/>
  <c r="R127" i="33"/>
  <c r="N133" i="33"/>
  <c r="N139" i="33"/>
  <c r="P144" i="33"/>
  <c r="N149" i="33"/>
  <c r="Q154" i="33"/>
  <c r="Q170" i="33"/>
  <c r="R177" i="33"/>
  <c r="N183" i="33"/>
  <c r="P187" i="33"/>
  <c r="N191" i="33"/>
  <c r="Q194" i="33"/>
  <c r="N198" i="33"/>
  <c r="R201" i="33"/>
  <c r="O205" i="33"/>
  <c r="P220" i="33"/>
  <c r="P227" i="33"/>
  <c r="Q234" i="33"/>
  <c r="R241" i="33"/>
  <c r="R248" i="33"/>
  <c r="R273" i="33"/>
  <c r="O32" i="33"/>
  <c r="N53" i="33"/>
  <c r="S61" i="33"/>
  <c r="N68" i="33"/>
  <c r="R78" i="33"/>
  <c r="P81" i="33"/>
  <c r="N84" i="33"/>
  <c r="R86" i="33"/>
  <c r="P89" i="33"/>
  <c r="N92" i="33"/>
  <c r="R94" i="33"/>
  <c r="P97" i="33"/>
  <c r="N100" i="33"/>
  <c r="R102" i="33"/>
  <c r="P105" i="33"/>
  <c r="N108" i="33"/>
  <c r="R110" i="33"/>
  <c r="P113" i="33"/>
  <c r="N124" i="33"/>
  <c r="R126" i="33"/>
  <c r="P129" i="33"/>
  <c r="N132" i="33"/>
  <c r="R134" i="33"/>
  <c r="P137" i="33"/>
  <c r="N140" i="33"/>
  <c r="R142" i="33"/>
  <c r="N148" i="33"/>
  <c r="S155" i="33"/>
  <c r="R173" i="33"/>
  <c r="Q182" i="33"/>
  <c r="P191" i="33"/>
  <c r="O201" i="33"/>
  <c r="S219" i="33"/>
  <c r="R228" i="33"/>
  <c r="R237" i="33"/>
  <c r="Q246" i="33"/>
  <c r="R267" i="33"/>
  <c r="R279" i="33"/>
  <c r="P286" i="33"/>
  <c r="R291" i="33"/>
  <c r="N304" i="33"/>
  <c r="P309" i="33"/>
  <c r="R314" i="33"/>
  <c r="N320" i="33"/>
  <c r="R326" i="33"/>
  <c r="N332" i="33"/>
  <c r="P337" i="33"/>
  <c r="R350" i="33"/>
  <c r="N356" i="33"/>
  <c r="P361" i="33"/>
  <c r="R366" i="33"/>
  <c r="N372" i="33"/>
  <c r="P377" i="33"/>
  <c r="R382" i="33"/>
  <c r="N396" i="33"/>
  <c r="P401" i="33"/>
  <c r="R406" i="33"/>
  <c r="N412" i="33"/>
  <c r="P417" i="33"/>
  <c r="R422" i="33"/>
  <c r="N428" i="33"/>
  <c r="P441" i="33"/>
  <c r="R446" i="33"/>
  <c r="N452" i="33"/>
  <c r="P457" i="33"/>
  <c r="R462" i="33"/>
  <c r="N468" i="33"/>
  <c r="P481" i="33"/>
  <c r="R486" i="33"/>
  <c r="N492" i="33"/>
  <c r="P497" i="33"/>
  <c r="R502" i="33"/>
  <c r="N516" i="33"/>
  <c r="P521" i="33"/>
  <c r="R526" i="33"/>
  <c r="N532" i="33"/>
  <c r="P537" i="33"/>
  <c r="R542" i="33"/>
  <c r="N556" i="33"/>
  <c r="P561" i="33"/>
  <c r="R566" i="33"/>
  <c r="N572" i="33"/>
  <c r="P577" i="33"/>
  <c r="R582" i="33"/>
  <c r="R596" i="33"/>
  <c r="N602" i="33"/>
  <c r="P607" i="33"/>
  <c r="R612" i="33"/>
  <c r="N618" i="33"/>
  <c r="R630" i="33"/>
  <c r="O637" i="33"/>
  <c r="S647" i="33"/>
  <c r="Q658" i="33"/>
  <c r="S675" i="33"/>
  <c r="O706" i="33"/>
  <c r="Q727" i="33"/>
  <c r="Q754" i="33"/>
  <c r="O779" i="33"/>
  <c r="Q845" i="33"/>
  <c r="N969" i="33"/>
  <c r="R269" i="33"/>
  <c r="O30" i="33"/>
  <c r="S34" i="33"/>
  <c r="R37" i="33"/>
  <c r="P52" i="33"/>
  <c r="O57" i="33"/>
  <c r="Q60" i="33"/>
  <c r="Q65" i="33"/>
  <c r="R146" i="33"/>
  <c r="R150" i="33"/>
  <c r="R156" i="33"/>
  <c r="N170" i="33"/>
  <c r="P176" i="33"/>
  <c r="R181" i="33"/>
  <c r="S187" i="33"/>
  <c r="N194" i="33"/>
  <c r="P199" i="33"/>
  <c r="R204" i="33"/>
  <c r="O217" i="33"/>
  <c r="P223" i="33"/>
  <c r="R229" i="33"/>
  <c r="N235" i="33"/>
  <c r="O241" i="33"/>
  <c r="P247" i="33"/>
  <c r="P262" i="33"/>
  <c r="P270" i="33"/>
  <c r="P282" i="33"/>
  <c r="P30" i="33"/>
  <c r="N33" i="33"/>
  <c r="R35" i="33"/>
  <c r="Q38" i="33"/>
  <c r="N54" i="33"/>
  <c r="R56" i="33"/>
  <c r="P59" i="33"/>
  <c r="O62" i="33"/>
  <c r="N64" i="33"/>
  <c r="N66" i="33"/>
  <c r="O68" i="33"/>
  <c r="S78" i="33"/>
  <c r="Q81" i="33"/>
  <c r="O84" i="33"/>
  <c r="S86" i="33"/>
  <c r="Q89" i="33"/>
  <c r="O92" i="33"/>
  <c r="S94" i="33"/>
  <c r="Q97" i="33"/>
  <c r="O100" i="33"/>
  <c r="S102" i="33"/>
  <c r="Q105" i="33"/>
  <c r="O108" i="33"/>
  <c r="S110" i="33"/>
  <c r="Q113" i="33"/>
  <c r="O124" i="33"/>
  <c r="S126" i="33"/>
  <c r="Q129" i="33"/>
  <c r="O132" i="33"/>
  <c r="S134" i="33"/>
  <c r="Q137" i="33"/>
  <c r="O140" i="33"/>
  <c r="S142" i="33"/>
  <c r="Q145" i="33"/>
  <c r="O148" i="33"/>
  <c r="S150" i="33"/>
  <c r="P154" i="33"/>
  <c r="S157" i="33"/>
  <c r="P169" i="33"/>
  <c r="N173" i="33"/>
  <c r="Q176" i="33"/>
  <c r="N180" i="33"/>
  <c r="R183" i="33"/>
  <c r="O187" i="33"/>
  <c r="R190" i="33"/>
  <c r="P194" i="33"/>
  <c r="S197" i="33"/>
  <c r="P202" i="33"/>
  <c r="R215" i="33"/>
  <c r="N220" i="33"/>
  <c r="Q224" i="33"/>
  <c r="S229" i="33"/>
  <c r="P234" i="33"/>
  <c r="R238" i="33"/>
  <c r="N244" i="33"/>
  <c r="Q248" i="33"/>
  <c r="R262" i="33"/>
  <c r="R270" i="33"/>
  <c r="P277" i="33"/>
  <c r="N284" i="33"/>
  <c r="N292" i="33"/>
  <c r="R305" i="33"/>
  <c r="P312" i="33"/>
  <c r="P320" i="33"/>
  <c r="N327" i="33"/>
  <c r="R333" i="33"/>
  <c r="R341" i="33"/>
  <c r="P356" i="33"/>
  <c r="N363" i="33"/>
  <c r="N371" i="33"/>
  <c r="R377" i="33"/>
  <c r="P384" i="33"/>
  <c r="P400" i="33"/>
  <c r="N407" i="33"/>
  <c r="R413" i="33"/>
  <c r="R421" i="33"/>
  <c r="P428" i="33"/>
  <c r="N443" i="33"/>
  <c r="N451" i="33"/>
  <c r="R457" i="33"/>
  <c r="P464" i="33"/>
  <c r="P480" i="33"/>
  <c r="N487" i="33"/>
  <c r="R493" i="33"/>
  <c r="R501" i="33"/>
  <c r="P516" i="33"/>
  <c r="N523" i="33"/>
  <c r="N531" i="33"/>
  <c r="R537" i="33"/>
  <c r="P544" i="33"/>
  <c r="P560" i="33"/>
  <c r="N567" i="33"/>
  <c r="R573" i="33"/>
  <c r="R581" i="33"/>
  <c r="N597" i="33"/>
  <c r="R603" i="33"/>
  <c r="R611" i="33"/>
  <c r="P618" i="33"/>
  <c r="R633" i="33"/>
  <c r="Q648" i="33"/>
  <c r="O671" i="33"/>
  <c r="O692" i="33"/>
  <c r="O745" i="33"/>
  <c r="Q780" i="33"/>
  <c r="S850" i="33"/>
  <c r="Q1216" i="33"/>
  <c r="O154" i="33"/>
  <c r="Q157" i="33"/>
  <c r="Q169" i="33"/>
  <c r="S172" i="33"/>
  <c r="O176" i="33"/>
  <c r="O180" i="33"/>
  <c r="Q183" i="33"/>
  <c r="S186" i="33"/>
  <c r="S190" i="33"/>
  <c r="O194" i="33"/>
  <c r="Q197" i="33"/>
  <c r="Q201" i="33"/>
  <c r="S204" i="33"/>
  <c r="O216" i="33"/>
  <c r="O220" i="33"/>
  <c r="Q223" i="33"/>
  <c r="S226" i="33"/>
  <c r="S230" i="33"/>
  <c r="O234" i="33"/>
  <c r="Q237" i="33"/>
  <c r="Q241" i="33"/>
  <c r="S244" i="33"/>
  <c r="O248" i="33"/>
  <c r="O260" i="33"/>
  <c r="Q263" i="33"/>
  <c r="S266" i="33"/>
  <c r="S270" i="33"/>
  <c r="O274" i="33"/>
  <c r="Q277" i="33"/>
  <c r="Q281" i="33"/>
  <c r="S284" i="33"/>
  <c r="O288" i="33"/>
  <c r="O292" i="33"/>
  <c r="Q295" i="33"/>
  <c r="S305" i="33"/>
  <c r="S309" i="33"/>
  <c r="O313" i="33"/>
  <c r="Q316" i="33"/>
  <c r="Q320" i="33"/>
  <c r="S323" i="33"/>
  <c r="O327" i="33"/>
  <c r="O331" i="33"/>
  <c r="Q334" i="33"/>
  <c r="S337" i="33"/>
  <c r="S341" i="33"/>
  <c r="O353" i="33"/>
  <c r="Q356" i="33"/>
  <c r="Q360" i="33"/>
  <c r="S363" i="33"/>
  <c r="O367" i="33"/>
  <c r="Q372" i="33"/>
  <c r="O377" i="33"/>
  <c r="O381" i="33"/>
  <c r="Q386" i="33"/>
  <c r="O399" i="33"/>
  <c r="S403" i="33"/>
  <c r="O409" i="33"/>
  <c r="O413" i="33"/>
  <c r="S417" i="33"/>
  <c r="O423" i="33"/>
  <c r="S427" i="33"/>
  <c r="S431" i="33"/>
  <c r="O445" i="33"/>
  <c r="S449" i="33"/>
  <c r="Q454" i="33"/>
  <c r="S459" i="33"/>
  <c r="S463" i="33"/>
  <c r="Q468" i="33"/>
  <c r="S481" i="33"/>
  <c r="Q486" i="33"/>
  <c r="Q490" i="33"/>
  <c r="S495" i="33"/>
  <c r="Q500" i="33"/>
  <c r="O505" i="33"/>
  <c r="Q518" i="33"/>
  <c r="Q522" i="33"/>
  <c r="O527" i="33"/>
  <c r="Q532" i="33"/>
  <c r="O537" i="33"/>
  <c r="O541" i="33"/>
  <c r="Q554" i="33"/>
  <c r="O559" i="33"/>
  <c r="S563" i="33"/>
  <c r="O569" i="33"/>
  <c r="O573" i="33"/>
  <c r="S577" i="33"/>
  <c r="O583" i="33"/>
  <c r="Q595" i="33"/>
  <c r="Q599" i="33"/>
  <c r="S604" i="33"/>
  <c r="Q609" i="33"/>
  <c r="O614" i="33"/>
  <c r="Q619" i="33"/>
  <c r="O631" i="33"/>
  <c r="S636" i="33"/>
  <c r="Q647" i="33"/>
  <c r="S656" i="33"/>
  <c r="Q671" i="33"/>
  <c r="Q687" i="33"/>
  <c r="O712" i="33"/>
  <c r="S730" i="33"/>
  <c r="S761" i="33"/>
  <c r="Q786" i="33"/>
  <c r="O815" i="33"/>
  <c r="P871" i="33"/>
  <c r="O918" i="33"/>
  <c r="R970" i="33"/>
  <c r="N1134" i="33"/>
  <c r="S805" i="33"/>
  <c r="Q853" i="33"/>
  <c r="R904" i="33"/>
  <c r="P965" i="33"/>
  <c r="O1054" i="33"/>
  <c r="Q260" i="33"/>
  <c r="O265" i="33"/>
  <c r="O269" i="33"/>
  <c r="Q274" i="33"/>
  <c r="O279" i="33"/>
  <c r="S283" i="33"/>
  <c r="O289" i="33"/>
  <c r="O293" i="33"/>
  <c r="S304" i="33"/>
  <c r="O310" i="33"/>
  <c r="S314" i="33"/>
  <c r="S318" i="33"/>
  <c r="O324" i="33"/>
  <c r="S328" i="33"/>
  <c r="Q333" i="33"/>
  <c r="S338" i="33"/>
  <c r="S350" i="33"/>
  <c r="Q355" i="33"/>
  <c r="S360" i="33"/>
  <c r="Q365" i="33"/>
  <c r="Q369" i="33"/>
  <c r="S374" i="33"/>
  <c r="Q379" i="33"/>
  <c r="O384" i="33"/>
  <c r="Q397" i="33"/>
  <c r="Q401" i="33"/>
  <c r="O406" i="33"/>
  <c r="Q411" i="33"/>
  <c r="O416" i="33"/>
  <c r="O420" i="33"/>
  <c r="Q425" i="33"/>
  <c r="O430" i="33"/>
  <c r="S442" i="33"/>
  <c r="O448" i="33"/>
  <c r="O452" i="33"/>
  <c r="S456" i="33"/>
  <c r="O462" i="33"/>
  <c r="S466" i="33"/>
  <c r="S470" i="33"/>
  <c r="O484" i="33"/>
  <c r="S488" i="33"/>
  <c r="Q493" i="33"/>
  <c r="S498" i="33"/>
  <c r="S502" i="33"/>
  <c r="Q507" i="33"/>
  <c r="S520" i="33"/>
  <c r="Q525" i="33"/>
  <c r="Q529" i="33"/>
  <c r="S534" i="33"/>
  <c r="Q539" i="33"/>
  <c r="O544" i="33"/>
  <c r="Q557" i="33"/>
  <c r="Q561" i="33"/>
  <c r="O566" i="33"/>
  <c r="Q571" i="33"/>
  <c r="O576" i="33"/>
  <c r="O580" i="33"/>
  <c r="O595" i="33"/>
  <c r="S601" i="33"/>
  <c r="O611" i="33"/>
  <c r="Q620" i="33"/>
  <c r="Q641" i="33"/>
  <c r="O668" i="33"/>
  <c r="O694" i="33"/>
  <c r="S749" i="33"/>
  <c r="P802" i="33"/>
  <c r="N890" i="33"/>
  <c r="S1017" i="33"/>
  <c r="N639" i="33"/>
  <c r="P648" i="33"/>
  <c r="R657" i="33"/>
  <c r="N675" i="33"/>
  <c r="R683" i="33"/>
  <c r="R693" i="33"/>
  <c r="R711" i="33"/>
  <c r="P720" i="33"/>
  <c r="P730" i="33"/>
  <c r="N748" i="33"/>
  <c r="P757" i="33"/>
  <c r="R766" i="33"/>
  <c r="R784" i="33"/>
  <c r="P795" i="33"/>
  <c r="R811" i="33"/>
  <c r="R840" i="33"/>
  <c r="N858" i="33"/>
  <c r="O886" i="33"/>
  <c r="S904" i="33"/>
  <c r="P934" i="33"/>
  <c r="N971" i="33"/>
  <c r="O1034" i="33"/>
  <c r="S1142" i="33"/>
  <c r="S683" i="33"/>
  <c r="O705" i="33"/>
  <c r="O725" i="33"/>
  <c r="S758" i="33"/>
  <c r="P797" i="33"/>
  <c r="N880" i="33"/>
  <c r="P973" i="33"/>
  <c r="N646" i="33"/>
  <c r="P707" i="33"/>
  <c r="Q1193" i="33"/>
  <c r="Q1126" i="33"/>
  <c r="N1016" i="33"/>
  <c r="S895" i="33"/>
  <c r="R1125" i="33"/>
  <c r="O931" i="33"/>
  <c r="R875" i="33"/>
  <c r="P813" i="33"/>
  <c r="N1125" i="33"/>
  <c r="N994" i="33"/>
  <c r="N954" i="33"/>
  <c r="P919" i="33"/>
  <c r="Q881" i="33"/>
  <c r="R846" i="33"/>
  <c r="P825" i="33"/>
  <c r="O793" i="33"/>
  <c r="P770" i="33"/>
  <c r="R759" i="33"/>
  <c r="P746" i="33"/>
  <c r="R728" i="33"/>
  <c r="R720" i="33"/>
  <c r="N710" i="33"/>
  <c r="R692" i="33"/>
  <c r="N688" i="33"/>
  <c r="R682" i="33"/>
  <c r="N678" i="33"/>
  <c r="N674" i="33"/>
  <c r="R668" i="33"/>
  <c r="P657" i="33"/>
  <c r="R652" i="33"/>
  <c r="P647" i="33"/>
  <c r="P643" i="33"/>
  <c r="R638" i="33"/>
  <c r="S1230" i="33"/>
  <c r="Q1137" i="33"/>
  <c r="R1099" i="33"/>
  <c r="S1056" i="33"/>
  <c r="O1030" i="33"/>
  <c r="P1006" i="33"/>
  <c r="R995" i="33"/>
  <c r="R978" i="33"/>
  <c r="S969" i="33"/>
  <c r="O959" i="33"/>
  <c r="R941" i="33"/>
  <c r="R932" i="33"/>
  <c r="N922" i="33"/>
  <c r="R906" i="33"/>
  <c r="N900" i="33"/>
  <c r="N892" i="33"/>
  <c r="P885" i="33"/>
  <c r="R878" i="33"/>
  <c r="R870" i="33"/>
  <c r="Q855" i="33"/>
  <c r="S848" i="33"/>
  <c r="S840" i="33"/>
  <c r="O834" i="33"/>
  <c r="Q827" i="33"/>
  <c r="Q810" i="33"/>
  <c r="S803" i="33"/>
  <c r="O799" i="33"/>
  <c r="S793" i="33"/>
  <c r="P789" i="33"/>
  <c r="Q785" i="33"/>
  <c r="O782" i="33"/>
  <c r="Q779" i="33"/>
  <c r="S768" i="33"/>
  <c r="O766" i="33"/>
  <c r="Q763" i="33"/>
  <c r="S760" i="33"/>
  <c r="O758" i="33"/>
  <c r="Q755" i="33"/>
  <c r="S752" i="33"/>
  <c r="O750" i="33"/>
  <c r="Q747" i="33"/>
  <c r="S744" i="33"/>
  <c r="O742" i="33"/>
  <c r="O731" i="33"/>
  <c r="Q728" i="33"/>
  <c r="S725" i="33"/>
  <c r="O723" i="33"/>
  <c r="Q720" i="33"/>
  <c r="S717" i="33"/>
  <c r="O715" i="33"/>
  <c r="Q712" i="33"/>
  <c r="S709" i="33"/>
  <c r="O707" i="33"/>
  <c r="Q923" i="33"/>
  <c r="S871" i="33"/>
  <c r="R998" i="33"/>
  <c r="N881" i="33"/>
  <c r="P807" i="33"/>
  <c r="Q1016" i="33"/>
  <c r="N963" i="33"/>
  <c r="O900" i="33"/>
  <c r="S870" i="33"/>
  <c r="N828" i="33"/>
  <c r="R788" i="33"/>
  <c r="N765" i="33"/>
  <c r="N751" i="33"/>
  <c r="N728" i="33"/>
  <c r="S1010" i="33"/>
  <c r="P923" i="33"/>
  <c r="R1050" i="33"/>
  <c r="R903" i="33"/>
  <c r="R829" i="33"/>
  <c r="S1052" i="33"/>
  <c r="P975" i="33"/>
  <c r="N921" i="33"/>
  <c r="S874" i="33"/>
  <c r="R834" i="33"/>
  <c r="P799" i="33"/>
  <c r="R769" i="33"/>
  <c r="R751" i="33"/>
  <c r="P731" i="33"/>
  <c r="P717" i="33"/>
  <c r="R706" i="33"/>
  <c r="R688" i="33"/>
  <c r="N682" i="33"/>
  <c r="P675" i="33"/>
  <c r="N670" i="33"/>
  <c r="R656" i="33"/>
  <c r="N650" i="33"/>
  <c r="N644" i="33"/>
  <c r="R636" i="33"/>
  <c r="S1180" i="33"/>
  <c r="N1105" i="33"/>
  <c r="Q1051" i="33"/>
  <c r="R1010" i="33"/>
  <c r="O999" i="33"/>
  <c r="N977" i="33"/>
  <c r="Q964" i="33"/>
  <c r="P943" i="33"/>
  <c r="O929" i="33"/>
  <c r="S918" i="33"/>
  <c r="P901" i="33"/>
  <c r="R890" i="33"/>
  <c r="P881" i="33"/>
  <c r="P873" i="33"/>
  <c r="O854" i="33"/>
  <c r="S844" i="33"/>
  <c r="Q835" i="33"/>
  <c r="S815" i="33"/>
  <c r="S807" i="33"/>
  <c r="N800" i="33"/>
  <c r="N793" i="33"/>
  <c r="S786" i="33"/>
  <c r="S782" i="33"/>
  <c r="S770" i="33"/>
  <c r="Q767" i="33"/>
  <c r="O764" i="33"/>
  <c r="O760" i="33"/>
  <c r="S756" i="33"/>
  <c r="Q753" i="33"/>
  <c r="Q749" i="33"/>
  <c r="O746" i="33"/>
  <c r="S742" i="33"/>
  <c r="Q730" i="33"/>
  <c r="O727" i="33"/>
  <c r="S723" i="33"/>
  <c r="S719" i="33"/>
  <c r="Q716" i="33"/>
  <c r="O713" i="33"/>
  <c r="O709" i="33"/>
  <c r="S705" i="33"/>
  <c r="O695" i="33"/>
  <c r="Q692" i="33"/>
  <c r="S689" i="33"/>
  <c r="O687" i="33"/>
  <c r="Q684" i="33"/>
  <c r="S681" i="33"/>
  <c r="O679" i="33"/>
  <c r="O1294" i="33"/>
  <c r="S1188" i="33"/>
  <c r="N1150" i="33"/>
  <c r="Q1121" i="33"/>
  <c r="N1093" i="33"/>
  <c r="O1066" i="33"/>
  <c r="S1044" i="33"/>
  <c r="S1013" i="33"/>
  <c r="S1003" i="33"/>
  <c r="R996" i="33"/>
  <c r="R981" i="33"/>
  <c r="Q974" i="33"/>
  <c r="P967" i="33"/>
  <c r="P960" i="33"/>
  <c r="N1075" i="33"/>
  <c r="O979" i="33"/>
  <c r="N1341" i="33"/>
  <c r="P942" i="33"/>
  <c r="R854" i="33"/>
  <c r="N787" i="33"/>
  <c r="R743" i="33"/>
  <c r="R714" i="33"/>
  <c r="P691" i="33"/>
  <c r="R684" i="33"/>
  <c r="R674" i="33"/>
  <c r="R666" i="33"/>
  <c r="P651" i="33"/>
  <c r="N642" i="33"/>
  <c r="P635" i="33"/>
  <c r="Q1110" i="33"/>
  <c r="O1046" i="33"/>
  <c r="R1002" i="33"/>
  <c r="Q980" i="33"/>
  <c r="R962" i="33"/>
  <c r="P936" i="33"/>
  <c r="P920" i="33"/>
  <c r="P897" i="33"/>
  <c r="R886" i="33"/>
  <c r="R874" i="33"/>
  <c r="Q851" i="33"/>
  <c r="Q839" i="33"/>
  <c r="S828" i="33"/>
  <c r="O805" i="33"/>
  <c r="Q796" i="33"/>
  <c r="Q788" i="33"/>
  <c r="Q781" i="33"/>
  <c r="Q769" i="33"/>
  <c r="S764" i="33"/>
  <c r="Q759" i="33"/>
  <c r="S754" i="33"/>
  <c r="S750" i="33"/>
  <c r="Q745" i="33"/>
  <c r="Q732" i="33"/>
  <c r="S727" i="33"/>
  <c r="Q722" i="33"/>
  <c r="Q718" i="33"/>
  <c r="S713" i="33"/>
  <c r="Q708" i="33"/>
  <c r="Q704" i="33"/>
  <c r="O693" i="33"/>
  <c r="O689" i="33"/>
  <c r="S685" i="33"/>
  <c r="Q682" i="33"/>
  <c r="Q678" i="33"/>
  <c r="N1241" i="33"/>
  <c r="N1157" i="33"/>
  <c r="N1109" i="33"/>
  <c r="P1082" i="33"/>
  <c r="O1050" i="33"/>
  <c r="S1009" i="33"/>
  <c r="P1000" i="33"/>
  <c r="P991" i="33"/>
  <c r="R972" i="33"/>
  <c r="S963" i="33"/>
  <c r="N955" i="33"/>
  <c r="R939" i="33"/>
  <c r="Q932" i="33"/>
  <c r="P925" i="33"/>
  <c r="R918" i="33"/>
  <c r="O906" i="33"/>
  <c r="S900" i="33"/>
  <c r="Q895" i="33"/>
  <c r="O890" i="33"/>
  <c r="S884" i="33"/>
  <c r="Q879" i="33"/>
  <c r="O874" i="33"/>
  <c r="R860" i="33"/>
  <c r="P855" i="33"/>
  <c r="N850" i="33"/>
  <c r="R844" i="33"/>
  <c r="P839" i="33"/>
  <c r="N834" i="33"/>
  <c r="R828" i="33"/>
  <c r="P814" i="33"/>
  <c r="N809" i="33"/>
  <c r="R803" i="33"/>
  <c r="S799" i="33"/>
  <c r="P796" i="33"/>
  <c r="R792" i="33"/>
  <c r="O789" i="33"/>
  <c r="N786" i="33"/>
  <c r="P783" i="33"/>
  <c r="R780" i="33"/>
  <c r="N770" i="33"/>
  <c r="P767" i="33"/>
  <c r="R764" i="33"/>
  <c r="N762" i="33"/>
  <c r="P759" i="33"/>
  <c r="R756" i="33"/>
  <c r="N754" i="33"/>
  <c r="P751" i="33"/>
  <c r="R748" i="33"/>
  <c r="N746" i="33"/>
  <c r="P743" i="33"/>
  <c r="P732" i="33"/>
  <c r="R729" i="33"/>
  <c r="N727" i="33"/>
  <c r="P724" i="33"/>
  <c r="R721" i="33"/>
  <c r="N719" i="33"/>
  <c r="P716" i="33"/>
  <c r="R713" i="33"/>
  <c r="N711" i="33"/>
  <c r="P708" i="33"/>
  <c r="R705" i="33"/>
  <c r="N695" i="33"/>
  <c r="P692" i="33"/>
  <c r="R689" i="33"/>
  <c r="N687" i="33"/>
  <c r="P684" i="33"/>
  <c r="R681" i="33"/>
  <c r="N679" i="33"/>
  <c r="P676" i="33"/>
  <c r="R673" i="33"/>
  <c r="N671" i="33"/>
  <c r="P668" i="33"/>
  <c r="P658" i="33"/>
  <c r="R655" i="33"/>
  <c r="N653" i="33"/>
  <c r="P650" i="33"/>
  <c r="R647" i="33"/>
  <c r="N645" i="33"/>
  <c r="P642" i="33"/>
  <c r="R639" i="33"/>
  <c r="N637" i="33"/>
  <c r="P1262" i="33"/>
  <c r="R1075" i="33"/>
  <c r="P1005" i="33"/>
  <c r="P974" i="33"/>
  <c r="P935" i="33"/>
  <c r="R900" i="33"/>
  <c r="P879" i="33"/>
  <c r="Q849" i="33"/>
  <c r="O828" i="33"/>
  <c r="R798" i="33"/>
  <c r="O785" i="33"/>
  <c r="S765" i="33"/>
  <c r="O755" i="33"/>
  <c r="Q744" i="33"/>
  <c r="S726" i="33"/>
  <c r="O716" i="33"/>
  <c r="Q705" i="33"/>
  <c r="O686" i="33"/>
  <c r="O676" i="33"/>
  <c r="S670" i="33"/>
  <c r="S658" i="33"/>
  <c r="Q653" i="33"/>
  <c r="O648" i="33"/>
  <c r="S642" i="33"/>
  <c r="Q637" i="33"/>
  <c r="Q633" i="33"/>
  <c r="S630" i="33"/>
  <c r="S619" i="33"/>
  <c r="O617" i="33"/>
  <c r="Q614" i="33"/>
  <c r="S611" i="33"/>
  <c r="O609" i="33"/>
  <c r="Q606" i="33"/>
  <c r="S603" i="33"/>
  <c r="O601" i="33"/>
  <c r="Q598" i="33"/>
  <c r="S595" i="33"/>
  <c r="O593" i="33"/>
  <c r="O582" i="33"/>
  <c r="O800" i="33"/>
  <c r="N841" i="33"/>
  <c r="S929" i="33"/>
  <c r="P808" i="33"/>
  <c r="N755" i="33"/>
  <c r="N714" i="33"/>
  <c r="N686" i="33"/>
  <c r="P677" i="33"/>
  <c r="N658" i="33"/>
  <c r="R646" i="33"/>
  <c r="N636" i="33"/>
  <c r="N1089" i="33"/>
  <c r="Q1020" i="33"/>
  <c r="N992" i="33"/>
  <c r="P957" i="33"/>
  <c r="P927" i="33"/>
  <c r="R902" i="33"/>
  <c r="N884" i="33"/>
  <c r="Q859" i="33"/>
  <c r="Q843" i="33"/>
  <c r="Q814" i="33"/>
  <c r="N801" i="33"/>
  <c r="P790" i="33"/>
  <c r="S780" i="33"/>
  <c r="S766" i="33"/>
  <c r="Q761" i="33"/>
  <c r="O754" i="33"/>
  <c r="O748" i="33"/>
  <c r="Q741" i="33"/>
  <c r="Q726" i="33"/>
  <c r="O721" i="33"/>
  <c r="Q714" i="33"/>
  <c r="Q1029" i="33"/>
  <c r="P854" i="33"/>
  <c r="O977" i="33"/>
  <c r="P845" i="33"/>
  <c r="R761" i="33"/>
  <c r="N722" i="33"/>
  <c r="N690" i="33"/>
  <c r="P679" i="33"/>
  <c r="P667" i="33"/>
  <c r="P649" i="33"/>
  <c r="P639" i="33"/>
  <c r="P1130" i="33"/>
  <c r="Q1035" i="33"/>
  <c r="S993" i="33"/>
  <c r="P966" i="33"/>
  <c r="Q934" i="33"/>
  <c r="P905" i="33"/>
  <c r="P889" i="33"/>
  <c r="S860" i="33"/>
  <c r="O846" i="33"/>
  <c r="O830" i="33"/>
  <c r="R802" i="33"/>
  <c r="N792" i="33"/>
  <c r="Q783" i="33"/>
  <c r="O768" i="33"/>
  <c r="O762" i="33"/>
  <c r="O756" i="33"/>
  <c r="S748" i="33"/>
  <c r="Q743" i="33"/>
  <c r="O729" i="33"/>
  <c r="S721" i="33"/>
  <c r="S715" i="33"/>
  <c r="Q710" i="33"/>
  <c r="S695" i="33"/>
  <c r="O691" i="33"/>
  <c r="Q686" i="33"/>
  <c r="O681" i="33"/>
  <c r="O677" i="33"/>
  <c r="S1167" i="33"/>
  <c r="R1103" i="33"/>
  <c r="S1060" i="33"/>
  <c r="O1019" i="33"/>
  <c r="Q998" i="33"/>
  <c r="N978" i="33"/>
  <c r="R965" i="33"/>
  <c r="N945" i="33"/>
  <c r="N936" i="33"/>
  <c r="O927" i="33"/>
  <c r="P917" i="33"/>
  <c r="Q903" i="33"/>
  <c r="S896" i="33"/>
  <c r="S888" i="33"/>
  <c r="O882" i="33"/>
  <c r="Q875" i="33"/>
  <c r="P859" i="33"/>
  <c r="R852" i="33"/>
  <c r="N846" i="33"/>
  <c r="N838" i="33"/>
  <c r="P831" i="33"/>
  <c r="R815" i="33"/>
  <c r="R807" i="33"/>
  <c r="R801" i="33"/>
  <c r="O797" i="33"/>
  <c r="S791" i="33"/>
  <c r="P787" i="33"/>
  <c r="N784" i="33"/>
  <c r="N780" i="33"/>
  <c r="R768" i="33"/>
  <c r="P765" i="33"/>
  <c r="P761" i="33"/>
  <c r="N758" i="33"/>
  <c r="R754" i="33"/>
  <c r="R750" i="33"/>
  <c r="P747" i="33"/>
  <c r="N744" i="33"/>
  <c r="R731" i="33"/>
  <c r="P728" i="33"/>
  <c r="N725" i="33"/>
  <c r="N721" i="33"/>
  <c r="R717" i="33"/>
  <c r="P714" i="33"/>
  <c r="P710" i="33"/>
  <c r="N707" i="33"/>
  <c r="R695" i="33"/>
  <c r="R691" i="33"/>
  <c r="P688" i="33"/>
  <c r="N685" i="33"/>
  <c r="N681" i="33"/>
  <c r="R677" i="33"/>
  <c r="P674" i="33"/>
  <c r="P670" i="33"/>
  <c r="N667" i="33"/>
  <c r="P656" i="33"/>
  <c r="P652" i="33"/>
  <c r="N649" i="33"/>
  <c r="R645" i="33"/>
  <c r="R641" i="33"/>
  <c r="P638" i="33"/>
  <c r="N635" i="33"/>
  <c r="Q1059" i="33"/>
  <c r="O991" i="33"/>
  <c r="Q942" i="33"/>
  <c r="P895" i="33"/>
  <c r="O860" i="33"/>
  <c r="Q833" i="33"/>
  <c r="O795" i="33"/>
  <c r="S779" i="33"/>
  <c r="S757" i="33"/>
  <c r="S741" i="33"/>
  <c r="Q721" i="33"/>
  <c r="O708" i="33"/>
  <c r="Q683" i="33"/>
  <c r="Q673" i="33"/>
  <c r="S666" i="33"/>
  <c r="O652" i="33"/>
  <c r="Q645" i="33"/>
  <c r="S638" i="33"/>
  <c r="S632" i="33"/>
  <c r="Q629" i="33"/>
  <c r="S617" i="33"/>
  <c r="S613" i="33"/>
  <c r="Q610" i="33"/>
  <c r="O607" i="33"/>
  <c r="O603" i="33"/>
  <c r="S599" i="33"/>
  <c r="Q596" i="33"/>
  <c r="Q592" i="33"/>
  <c r="S580" i="33"/>
  <c r="O578" i="33"/>
  <c r="Q575" i="33"/>
  <c r="S572" i="33"/>
  <c r="O570" i="33"/>
  <c r="Q567" i="33"/>
  <c r="S564" i="33"/>
  <c r="O562" i="33"/>
  <c r="Q559" i="33"/>
  <c r="S556" i="33"/>
  <c r="O554" i="33"/>
  <c r="Q543" i="33"/>
  <c r="S540" i="33"/>
  <c r="O538" i="33"/>
  <c r="Q535" i="33"/>
  <c r="S532" i="33"/>
  <c r="O530" i="33"/>
  <c r="Q527" i="33"/>
  <c r="S524" i="33"/>
  <c r="O522" i="33"/>
  <c r="Q519" i="33"/>
  <c r="S516" i="33"/>
  <c r="O506" i="33"/>
  <c r="Q503" i="33"/>
  <c r="S500" i="33"/>
  <c r="O498" i="33"/>
  <c r="Q495" i="33"/>
  <c r="S492" i="33"/>
  <c r="O490" i="33"/>
  <c r="Q487" i="33"/>
  <c r="S484" i="33"/>
  <c r="O482" i="33"/>
  <c r="Q479" i="33"/>
  <c r="S468" i="33"/>
  <c r="O466" i="33"/>
  <c r="Q463" i="33"/>
  <c r="S460" i="33"/>
  <c r="O458" i="33"/>
  <c r="Q455" i="33"/>
  <c r="S452" i="33"/>
  <c r="O450" i="33"/>
  <c r="Q447" i="33"/>
  <c r="S444" i="33"/>
  <c r="O442" i="33"/>
  <c r="Q431" i="33"/>
  <c r="S428" i="33"/>
  <c r="O426" i="33"/>
  <c r="Q423" i="33"/>
  <c r="S420" i="33"/>
  <c r="O418" i="33"/>
  <c r="Q415" i="33"/>
  <c r="S412" i="33"/>
  <c r="O410" i="33"/>
  <c r="Q407" i="33"/>
  <c r="S404" i="33"/>
  <c r="O402" i="33"/>
  <c r="Q399" i="33"/>
  <c r="S396" i="33"/>
  <c r="O386" i="33"/>
  <c r="Q383" i="33"/>
  <c r="S380" i="33"/>
  <c r="O378" i="33"/>
  <c r="Q375" i="33"/>
  <c r="S372" i="33"/>
  <c r="O370" i="33"/>
  <c r="Q367" i="33"/>
  <c r="S364" i="33"/>
  <c r="O362" i="33"/>
  <c r="Q359" i="33"/>
  <c r="S356" i="33"/>
  <c r="O354" i="33"/>
  <c r="Q351" i="33"/>
  <c r="S340" i="33"/>
  <c r="O338" i="33"/>
  <c r="Q335" i="33"/>
  <c r="S332" i="33"/>
  <c r="O330" i="33"/>
  <c r="Q327" i="33"/>
  <c r="S324" i="33"/>
  <c r="O322" i="33"/>
  <c r="Q319" i="33"/>
  <c r="S316" i="33"/>
  <c r="O314" i="33"/>
  <c r="Q311" i="33"/>
  <c r="S308" i="33"/>
  <c r="O306" i="33"/>
  <c r="Q296" i="33"/>
  <c r="S293" i="33"/>
  <c r="O291" i="33"/>
  <c r="Q288" i="33"/>
  <c r="S285" i="33"/>
  <c r="O283" i="33"/>
  <c r="Q280" i="33"/>
  <c r="S277" i="33"/>
  <c r="O275" i="33"/>
  <c r="Q272" i="33"/>
  <c r="S269" i="33"/>
  <c r="O267" i="33"/>
  <c r="Q264" i="33"/>
  <c r="S261" i="33"/>
  <c r="O259" i="33"/>
  <c r="N1141" i="33"/>
  <c r="Q1012" i="33"/>
  <c r="Q972" i="33"/>
  <c r="R933" i="33"/>
  <c r="P899" i="33"/>
  <c r="N878" i="33"/>
  <c r="O848" i="33"/>
  <c r="S826" i="33"/>
  <c r="S797" i="33"/>
  <c r="O1186" i="33"/>
  <c r="S1048" i="33"/>
  <c r="S977" i="33"/>
  <c r="N939" i="33"/>
  <c r="P903" i="33"/>
  <c r="N882" i="33"/>
  <c r="O852" i="33"/>
  <c r="S830" i="33"/>
  <c r="Q804" i="33"/>
  <c r="S789" i="33"/>
  <c r="S769" i="33"/>
  <c r="O759" i="33"/>
  <c r="Q748" i="33"/>
  <c r="O728" i="33"/>
  <c r="Q717" i="33"/>
  <c r="S706" i="33"/>
  <c r="O690" i="33"/>
  <c r="Q679" i="33"/>
  <c r="S672" i="33"/>
  <c r="Q667" i="33"/>
  <c r="Q655" i="33"/>
  <c r="O650" i="33"/>
  <c r="S644" i="33"/>
  <c r="Q639" i="33"/>
  <c r="Q634" i="33"/>
  <c r="S631" i="33"/>
  <c r="O629" i="33"/>
  <c r="S618" i="33"/>
  <c r="O616" i="33"/>
  <c r="Q613" i="33"/>
  <c r="S610" i="33"/>
  <c r="O608" i="33"/>
  <c r="Q605" i="33"/>
  <c r="S602" i="33"/>
  <c r="O600" i="33"/>
  <c r="Q597" i="33"/>
  <c r="S594" i="33"/>
  <c r="O592" i="33"/>
  <c r="S581" i="33"/>
  <c r="O579" i="33"/>
  <c r="Q576" i="33"/>
  <c r="S573" i="33"/>
  <c r="O571" i="33"/>
  <c r="Q568" i="33"/>
  <c r="S565" i="33"/>
  <c r="O563" i="33"/>
  <c r="Q560" i="33"/>
  <c r="S557" i="33"/>
  <c r="O555" i="33"/>
  <c r="Q544" i="33"/>
  <c r="S541" i="33"/>
  <c r="O539" i="33"/>
  <c r="Q536" i="33"/>
  <c r="S533" i="33"/>
  <c r="O531" i="33"/>
  <c r="Q528" i="33"/>
  <c r="S525" i="33"/>
  <c r="O523" i="33"/>
  <c r="Q520" i="33"/>
  <c r="S517" i="33"/>
  <c r="O507" i="33"/>
  <c r="Q504" i="33"/>
  <c r="S501" i="33"/>
  <c r="O499" i="33"/>
  <c r="Q496" i="33"/>
  <c r="S493" i="33"/>
  <c r="O491" i="33"/>
  <c r="Q488" i="33"/>
  <c r="S485" i="33"/>
  <c r="O483" i="33"/>
  <c r="Q480" i="33"/>
  <c r="S469" i="33"/>
  <c r="O467" i="33"/>
  <c r="Q464" i="33"/>
  <c r="S461" i="33"/>
  <c r="O459" i="33"/>
  <c r="Q456" i="33"/>
  <c r="S453" i="33"/>
  <c r="O451" i="33"/>
  <c r="Q448" i="33"/>
  <c r="S445" i="33"/>
  <c r="O443" i="33"/>
  <c r="Q432" i="33"/>
  <c r="S429" i="33"/>
  <c r="O427" i="33"/>
  <c r="Q424" i="33"/>
  <c r="S421" i="33"/>
  <c r="O419" i="33"/>
  <c r="Q416" i="33"/>
  <c r="S413" i="33"/>
  <c r="O411" i="33"/>
  <c r="Q408" i="33"/>
  <c r="S405" i="33"/>
  <c r="O403" i="33"/>
  <c r="Q400" i="33"/>
  <c r="S397" i="33"/>
  <c r="O395" i="33"/>
  <c r="Q384" i="33"/>
  <c r="S381" i="33"/>
  <c r="O379" i="33"/>
  <c r="Q376" i="33"/>
  <c r="S373" i="33"/>
  <c r="O371" i="33"/>
  <c r="Q368" i="33"/>
  <c r="P918" i="33"/>
  <c r="S890" i="33"/>
  <c r="R724" i="33"/>
  <c r="R680" i="33"/>
  <c r="N654" i="33"/>
  <c r="R1151" i="33"/>
  <c r="N1001" i="33"/>
  <c r="S939" i="33"/>
  <c r="R894" i="33"/>
  <c r="O850" i="33"/>
  <c r="O809" i="33"/>
  <c r="O784" i="33"/>
  <c r="S762" i="33"/>
  <c r="Q751" i="33"/>
  <c r="S729" i="33"/>
  <c r="O717" i="33"/>
  <c r="Q706" i="33"/>
  <c r="S691" i="33"/>
  <c r="O685" i="33"/>
  <c r="S679" i="33"/>
  <c r="O1178" i="33"/>
  <c r="P1098" i="33"/>
  <c r="Q1039" i="33"/>
  <c r="N1002" i="33"/>
  <c r="P976" i="33"/>
  <c r="Q958" i="33"/>
  <c r="S937" i="33"/>
  <c r="R923" i="33"/>
  <c r="Q907" i="33"/>
  <c r="O898" i="33"/>
  <c r="Q887" i="33"/>
  <c r="O878" i="33"/>
  <c r="O870" i="33"/>
  <c r="P851" i="33"/>
  <c r="N842" i="33"/>
  <c r="R832" i="33"/>
  <c r="N813" i="33"/>
  <c r="N805" i="33"/>
  <c r="N798" i="33"/>
  <c r="N791" i="33"/>
  <c r="P785" i="33"/>
  <c r="P781" i="33"/>
  <c r="N768" i="33"/>
  <c r="P763" i="33"/>
  <c r="R758" i="33"/>
  <c r="P753" i="33"/>
  <c r="P749" i="33"/>
  <c r="R744" i="33"/>
  <c r="N731" i="33"/>
  <c r="P726" i="33"/>
  <c r="P722" i="33"/>
  <c r="N717" i="33"/>
  <c r="P712" i="33"/>
  <c r="R707" i="33"/>
  <c r="P694" i="33"/>
  <c r="P690" i="33"/>
  <c r="R685" i="33"/>
  <c r="P680" i="33"/>
  <c r="R675" i="33"/>
  <c r="R671" i="33"/>
  <c r="P666" i="33"/>
  <c r="P654" i="33"/>
  <c r="R649" i="33"/>
  <c r="P644" i="33"/>
  <c r="P640" i="33"/>
  <c r="R635" i="33"/>
  <c r="O1038" i="33"/>
  <c r="O967" i="33"/>
  <c r="N906" i="33"/>
  <c r="S854" i="33"/>
  <c r="O807" i="33"/>
  <c r="Q782" i="33"/>
  <c r="Q752" i="33"/>
  <c r="Q729" i="33"/>
  <c r="S710" i="33"/>
  <c r="S680" i="33"/>
  <c r="Q669" i="33"/>
  <c r="S654" i="33"/>
  <c r="O644" i="33"/>
  <c r="S634" i="33"/>
  <c r="O630" i="33"/>
  <c r="Q616" i="33"/>
  <c r="Q612" i="33"/>
  <c r="S607" i="33"/>
  <c r="Q602" i="33"/>
  <c r="Q1456" i="33"/>
  <c r="O892" i="33"/>
  <c r="N743" i="33"/>
  <c r="P685" i="33"/>
  <c r="R654" i="33"/>
  <c r="P1205" i="33"/>
  <c r="N1008" i="33"/>
  <c r="R955" i="33"/>
  <c r="N896" i="33"/>
  <c r="S856" i="33"/>
  <c r="O813" i="33"/>
  <c r="O786" i="33"/>
  <c r="Q765" i="33"/>
  <c r="O752" i="33"/>
  <c r="S731" i="33"/>
  <c r="O719" i="33"/>
  <c r="S707" i="33"/>
  <c r="S693" i="33"/>
  <c r="S687" i="33"/>
  <c r="Q680" i="33"/>
  <c r="R1223" i="33"/>
  <c r="R1128" i="33"/>
  <c r="Q1055" i="33"/>
  <c r="R1005" i="33"/>
  <c r="S979" i="33"/>
  <c r="N962" i="33"/>
  <c r="P941" i="33"/>
  <c r="N929" i="33"/>
  <c r="N916" i="33"/>
  <c r="Q899" i="33"/>
  <c r="Q891" i="33"/>
  <c r="S880" i="33"/>
  <c r="Q871" i="33"/>
  <c r="N854" i="33"/>
  <c r="P843" i="33"/>
  <c r="P835" i="33"/>
  <c r="N826" i="33"/>
  <c r="P806" i="33"/>
  <c r="N799" i="33"/>
  <c r="R793" i="33"/>
  <c r="R786" i="33"/>
  <c r="N782" i="33"/>
  <c r="P769" i="33"/>
  <c r="N764" i="33"/>
  <c r="N760" i="33"/>
  <c r="P755" i="33"/>
  <c r="N750" i="33"/>
  <c r="P745" i="33"/>
  <c r="P741" i="33"/>
  <c r="R727" i="33"/>
  <c r="N723" i="33"/>
  <c r="P718" i="33"/>
  <c r="N713" i="33"/>
  <c r="N709" i="33"/>
  <c r="P704" i="33"/>
  <c r="N691" i="33"/>
  <c r="P686" i="33"/>
  <c r="P682" i="33"/>
  <c r="N677" i="33"/>
  <c r="P672" i="33"/>
  <c r="R667" i="33"/>
  <c r="N655" i="33"/>
  <c r="N651" i="33"/>
  <c r="P646" i="33"/>
  <c r="N641" i="33"/>
  <c r="P636" i="33"/>
  <c r="N1097" i="33"/>
  <c r="P981" i="33"/>
  <c r="O921" i="33"/>
  <c r="N874" i="33"/>
  <c r="Q812" i="33"/>
  <c r="N788" i="33"/>
  <c r="Q760" i="33"/>
  <c r="O732" i="33"/>
  <c r="Q713" i="33"/>
  <c r="S688" i="33"/>
  <c r="O672" i="33"/>
  <c r="O656" i="33"/>
  <c r="S646" i="33"/>
  <c r="O636" i="33"/>
  <c r="Q631" i="33"/>
  <c r="Q618" i="33"/>
  <c r="O613" i="33"/>
  <c r="Q608" i="33"/>
  <c r="Q604" i="33"/>
  <c r="O599" i="33"/>
  <c r="Q594" i="33"/>
  <c r="Q581" i="33"/>
  <c r="Q577" i="33"/>
  <c r="O574" i="33"/>
  <c r="S570" i="33"/>
  <c r="S566" i="33"/>
  <c r="Q563" i="33"/>
  <c r="O560" i="33"/>
  <c r="O556" i="33"/>
  <c r="S544" i="33"/>
  <c r="Q541" i="33"/>
  <c r="Q537" i="33"/>
  <c r="O534" i="33"/>
  <c r="S530" i="33"/>
  <c r="S526" i="33"/>
  <c r="Q523" i="33"/>
  <c r="O520" i="33"/>
  <c r="O516" i="33"/>
  <c r="S504" i="33"/>
  <c r="Q501" i="33"/>
  <c r="Q497" i="33"/>
  <c r="O494" i="33"/>
  <c r="S490" i="33"/>
  <c r="S486" i="33"/>
  <c r="Q483" i="33"/>
  <c r="O480" i="33"/>
  <c r="O468" i="33"/>
  <c r="S464" i="33"/>
  <c r="Q461" i="33"/>
  <c r="Q457" i="33"/>
  <c r="O454" i="33"/>
  <c r="S450" i="33"/>
  <c r="S446" i="33"/>
  <c r="Q443" i="33"/>
  <c r="O432" i="33"/>
  <c r="O428" i="33"/>
  <c r="S424" i="33"/>
  <c r="Q421" i="33"/>
  <c r="Q417" i="33"/>
  <c r="O414" i="33"/>
  <c r="S410" i="33"/>
  <c r="S406" i="33"/>
  <c r="Q403" i="33"/>
  <c r="O400" i="33"/>
  <c r="O396" i="33"/>
  <c r="S384" i="33"/>
  <c r="Q381" i="33"/>
  <c r="Q377" i="33"/>
  <c r="O374" i="33"/>
  <c r="S370" i="33"/>
  <c r="S366" i="33"/>
  <c r="Q363" i="33"/>
  <c r="O360" i="33"/>
  <c r="O356" i="33"/>
  <c r="S352" i="33"/>
  <c r="Q341" i="33"/>
  <c r="Q337" i="33"/>
  <c r="O334" i="33"/>
  <c r="S330" i="33"/>
  <c r="S326" i="33"/>
  <c r="Q323" i="33"/>
  <c r="O320" i="33"/>
  <c r="O316" i="33"/>
  <c r="S312" i="33"/>
  <c r="Q309" i="33"/>
  <c r="Q305" i="33"/>
  <c r="O295" i="33"/>
  <c r="S291" i="33"/>
  <c r="S287" i="33"/>
  <c r="Q284" i="33"/>
  <c r="O281" i="33"/>
  <c r="O277" i="33"/>
  <c r="S273" i="33"/>
  <c r="Q270" i="33"/>
  <c r="Q266" i="33"/>
  <c r="O263" i="33"/>
  <c r="S259" i="33"/>
  <c r="R1091" i="33"/>
  <c r="Q996" i="33"/>
  <c r="R940" i="33"/>
  <c r="N894" i="33"/>
  <c r="S858" i="33"/>
  <c r="O832" i="33"/>
  <c r="P794" i="33"/>
  <c r="R1107" i="33"/>
  <c r="R994" i="33"/>
  <c r="S931" i="33"/>
  <c r="R892" i="33"/>
  <c r="Q857" i="33"/>
  <c r="Q825" i="33"/>
  <c r="N797" i="33"/>
  <c r="O781" i="33"/>
  <c r="Q756" i="33"/>
  <c r="O743" i="33"/>
  <c r="O720" i="33"/>
  <c r="O704" i="33"/>
  <c r="S684" i="33"/>
  <c r="O674" i="33"/>
  <c r="O666" i="33"/>
  <c r="S652" i="33"/>
  <c r="O646" i="33"/>
  <c r="O638" i="33"/>
  <c r="O633" i="33"/>
  <c r="S629" i="33"/>
  <c r="O618" i="33"/>
  <c r="S614" i="33"/>
  <c r="Q611" i="33"/>
  <c r="Q607" i="33"/>
  <c r="O604" i="33"/>
  <c r="S600" i="33"/>
  <c r="S596" i="33"/>
  <c r="Q593" i="33"/>
  <c r="Q582" i="33"/>
  <c r="Q578" i="33"/>
  <c r="O575" i="33"/>
  <c r="S571" i="33"/>
  <c r="S567" i="33"/>
  <c r="Q564" i="33"/>
  <c r="O561" i="33"/>
  <c r="O557" i="33"/>
  <c r="S545" i="33"/>
  <c r="Q542" i="33"/>
  <c r="Q538" i="33"/>
  <c r="O535" i="33"/>
  <c r="S531" i="33"/>
  <c r="S527" i="33"/>
  <c r="Q524" i="33"/>
  <c r="O521" i="33"/>
  <c r="O517" i="33"/>
  <c r="S505" i="33"/>
  <c r="Q502" i="33"/>
  <c r="Q498" i="33"/>
  <c r="O495" i="33"/>
  <c r="S491" i="33"/>
  <c r="S487" i="33"/>
  <c r="Q484" i="33"/>
  <c r="O481" i="33"/>
  <c r="O469" i="33"/>
  <c r="S465" i="33"/>
  <c r="Q462" i="33"/>
  <c r="Q458" i="33"/>
  <c r="O455" i="33"/>
  <c r="S451" i="33"/>
  <c r="S447" i="33"/>
  <c r="Q444" i="33"/>
  <c r="O441" i="33"/>
  <c r="O429" i="33"/>
  <c r="S425" i="33"/>
  <c r="Q422" i="33"/>
  <c r="Q418" i="33"/>
  <c r="O415" i="33"/>
  <c r="S411" i="33"/>
  <c r="S407" i="33"/>
  <c r="Q404" i="33"/>
  <c r="O401" i="33"/>
  <c r="O397" i="33"/>
  <c r="S385" i="33"/>
  <c r="Q382" i="33"/>
  <c r="Q378" i="33"/>
  <c r="O375" i="33"/>
  <c r="S371" i="33"/>
  <c r="S367" i="33"/>
  <c r="O365" i="33"/>
  <c r="Q362" i="33"/>
  <c r="S359" i="33"/>
  <c r="O357" i="33"/>
  <c r="Q354" i="33"/>
  <c r="S351" i="33"/>
  <c r="O341" i="33"/>
  <c r="Q338" i="33"/>
  <c r="S335" i="33"/>
  <c r="O333" i="33"/>
  <c r="Q330" i="33"/>
  <c r="S327" i="33"/>
  <c r="O325" i="33"/>
  <c r="Q322" i="33"/>
  <c r="S319" i="33"/>
  <c r="O317" i="33"/>
  <c r="Q314" i="33"/>
  <c r="S311" i="33"/>
  <c r="O309" i="33"/>
  <c r="Q306" i="33"/>
  <c r="S296" i="33"/>
  <c r="O294" i="33"/>
  <c r="Q291" i="33"/>
  <c r="S288" i="33"/>
  <c r="O286" i="33"/>
  <c r="Q283" i="33"/>
  <c r="S280" i="33"/>
  <c r="O278" i="33"/>
  <c r="Q275" i="33"/>
  <c r="S272" i="33"/>
  <c r="O270" i="33"/>
  <c r="Q267" i="33"/>
  <c r="S264" i="33"/>
  <c r="O262" i="33"/>
  <c r="Q259" i="33"/>
  <c r="S248" i="33"/>
  <c r="O246" i="33"/>
  <c r="Q243" i="33"/>
  <c r="S240" i="33"/>
  <c r="O238" i="33"/>
  <c r="Q235" i="33"/>
  <c r="S232" i="33"/>
  <c r="O230" i="33"/>
  <c r="Q227" i="33"/>
  <c r="S224" i="33"/>
  <c r="O222" i="33"/>
  <c r="Q219" i="33"/>
  <c r="S216" i="33"/>
  <c r="O214" i="33"/>
  <c r="Q203" i="33"/>
  <c r="S200" i="33"/>
  <c r="O198" i="33"/>
  <c r="Q195" i="33"/>
  <c r="S192" i="33"/>
  <c r="O190" i="33"/>
  <c r="Q187" i="33"/>
  <c r="S184" i="33"/>
  <c r="O182" i="33"/>
  <c r="Q179" i="33"/>
  <c r="S176" i="33"/>
  <c r="O174" i="33"/>
  <c r="Q171" i="33"/>
  <c r="S168" i="33"/>
  <c r="O158" i="33"/>
  <c r="Q155" i="33"/>
  <c r="S152" i="33"/>
  <c r="N993" i="33"/>
  <c r="R880" i="33"/>
  <c r="N796" i="33"/>
  <c r="O761" i="33"/>
  <c r="S728" i="33"/>
  <c r="Q707" i="33"/>
  <c r="Q676" i="33"/>
  <c r="Q656" i="33"/>
  <c r="S645" i="33"/>
  <c r="O635" i="33"/>
  <c r="R629" i="33"/>
  <c r="R615" i="33"/>
  <c r="P610" i="33"/>
  <c r="N605" i="33"/>
  <c r="R599" i="33"/>
  <c r="P594" i="33"/>
  <c r="P580" i="33"/>
  <c r="N575" i="33"/>
  <c r="R569" i="33"/>
  <c r="P564" i="33"/>
  <c r="N559" i="33"/>
  <c r="R545" i="33"/>
  <c r="P540" i="33"/>
  <c r="N535" i="33"/>
  <c r="R529" i="33"/>
  <c r="P524" i="33"/>
  <c r="N519" i="33"/>
  <c r="R505" i="33"/>
  <c r="P500" i="33"/>
  <c r="N495" i="33"/>
  <c r="R489" i="33"/>
  <c r="P484" i="33"/>
  <c r="N479" i="33"/>
  <c r="R465" i="33"/>
  <c r="P460" i="33"/>
  <c r="N455" i="33"/>
  <c r="R449" i="33"/>
  <c r="P444" i="33"/>
  <c r="N431" i="33"/>
  <c r="R425" i="33"/>
  <c r="P420" i="33"/>
  <c r="N415" i="33"/>
  <c r="R409" i="33"/>
  <c r="P404" i="33"/>
  <c r="N399" i="33"/>
  <c r="R385" i="33"/>
  <c r="P380" i="33"/>
  <c r="N375" i="33"/>
  <c r="R369" i="33"/>
  <c r="P364" i="33"/>
  <c r="N359" i="33"/>
  <c r="R353" i="33"/>
  <c r="P340" i="33"/>
  <c r="N335" i="33"/>
  <c r="R329" i="33"/>
  <c r="P324" i="33"/>
  <c r="N319" i="33"/>
  <c r="R313" i="33"/>
  <c r="P308" i="33"/>
  <c r="N296" i="33"/>
  <c r="R290" i="33"/>
  <c r="P285" i="33"/>
  <c r="N280" i="33"/>
  <c r="R274" i="33"/>
  <c r="P269" i="33"/>
  <c r="N264" i="33"/>
  <c r="R250" i="33"/>
  <c r="R246" i="33"/>
  <c r="O243" i="33"/>
  <c r="R239" i="33"/>
  <c r="N236" i="33"/>
  <c r="Q232" i="33"/>
  <c r="N229" i="33"/>
  <c r="P225" i="33"/>
  <c r="S221" i="33"/>
  <c r="P218" i="33"/>
  <c r="R214" i="33"/>
  <c r="O203" i="33"/>
  <c r="R199" i="33"/>
  <c r="Q268" i="33"/>
  <c r="O273" i="33"/>
  <c r="Q278" i="33"/>
  <c r="Q282" i="33"/>
  <c r="O287" i="33"/>
  <c r="Q292" i="33"/>
  <c r="O304" i="33"/>
  <c r="O308" i="33"/>
  <c r="Q313" i="33"/>
  <c r="O318" i="33"/>
  <c r="S322" i="33"/>
  <c r="O328" i="33"/>
  <c r="O332" i="33"/>
  <c r="S336" i="33"/>
  <c r="O350" i="33"/>
  <c r="S354" i="33"/>
  <c r="S358" i="33"/>
  <c r="O364" i="33"/>
  <c r="S368" i="33"/>
  <c r="Q373" i="33"/>
  <c r="S378" i="33"/>
  <c r="S382" i="33"/>
  <c r="Q395" i="33"/>
  <c r="S400" i="33"/>
  <c r="Q405" i="33"/>
  <c r="Q409" i="33"/>
  <c r="S414" i="33"/>
  <c r="Q419" i="33"/>
  <c r="O424" i="33"/>
  <c r="Q429" i="33"/>
  <c r="Q441" i="33"/>
  <c r="O446" i="33"/>
  <c r="Q451" i="33"/>
  <c r="O456" i="33"/>
  <c r="O460" i="33"/>
  <c r="Q465" i="33"/>
  <c r="O470" i="33"/>
  <c r="S482" i="33"/>
  <c r="O488" i="33"/>
  <c r="O492" i="33"/>
  <c r="S496" i="33"/>
  <c r="O502" i="33"/>
  <c r="S506" i="33"/>
  <c r="S518" i="33"/>
  <c r="O524" i="33"/>
  <c r="S528" i="33"/>
  <c r="Q533" i="33"/>
  <c r="S538" i="33"/>
  <c r="S542" i="33"/>
  <c r="Q555" i="33"/>
  <c r="S560" i="33"/>
  <c r="Q565" i="33"/>
  <c r="Q569" i="33"/>
  <c r="S574" i="33"/>
  <c r="Q579" i="33"/>
  <c r="S593" i="33"/>
  <c r="Q600" i="33"/>
  <c r="S609" i="33"/>
  <c r="O619" i="33"/>
  <c r="O640" i="33"/>
  <c r="Q657" i="33"/>
  <c r="Q691" i="33"/>
  <c r="O747" i="33"/>
  <c r="R791" i="33"/>
  <c r="R884" i="33"/>
  <c r="P998" i="33"/>
  <c r="R637" i="33"/>
  <c r="N647" i="33"/>
  <c r="N657" i="33"/>
  <c r="N673" i="33"/>
  <c r="N683" i="33"/>
  <c r="N693" i="33"/>
  <c r="R709" i="33"/>
  <c r="R719" i="33"/>
  <c r="N729" i="33"/>
  <c r="R746" i="33"/>
  <c r="N756" i="33"/>
  <c r="N766" i="33"/>
  <c r="R782" i="33"/>
  <c r="Q794" i="33"/>
  <c r="P810" i="33"/>
  <c r="R836" i="33"/>
  <c r="R856" i="33"/>
  <c r="Q883" i="33"/>
  <c r="O902" i="33"/>
  <c r="R930" i="33"/>
  <c r="O969" i="33"/>
  <c r="P1007" i="33"/>
  <c r="R1135" i="33"/>
  <c r="O683" i="33"/>
  <c r="Q694" i="33"/>
  <c r="Q724" i="33"/>
  <c r="Q757" i="33"/>
  <c r="R795" i="33"/>
  <c r="N876" i="33"/>
  <c r="R971" i="33"/>
  <c r="R640" i="33"/>
  <c r="P695" i="33"/>
  <c r="Q1008" i="33"/>
  <c r="P848" i="33"/>
  <c r="R887" i="33"/>
  <c r="P962" i="33"/>
  <c r="S1090" i="33"/>
  <c r="S827" i="33"/>
  <c r="S991" i="33"/>
  <c r="O1098" i="33"/>
  <c r="P1293" i="33"/>
  <c r="N1166" i="33"/>
  <c r="N1121" i="33"/>
  <c r="N1256" i="33"/>
  <c r="Q1102" i="33"/>
  <c r="R1037" i="33"/>
  <c r="Q973" i="33"/>
  <c r="S926" i="33"/>
  <c r="Q1151" i="33"/>
  <c r="R1048" i="33"/>
  <c r="N1167" i="33"/>
  <c r="N1087" i="33"/>
  <c r="Q1033" i="33"/>
  <c r="N998" i="33"/>
  <c r="O965" i="33"/>
  <c r="O925" i="33"/>
  <c r="O897" i="33"/>
  <c r="O879" i="33"/>
  <c r="S849" i="33"/>
  <c r="O831" i="33"/>
  <c r="Q805" i="33"/>
  <c r="O788" i="33"/>
  <c r="R1205" i="33"/>
  <c r="R1141" i="33"/>
  <c r="S1094" i="33"/>
  <c r="R1058" i="33"/>
  <c r="R1034" i="33"/>
  <c r="O1003" i="33"/>
  <c r="N981" i="33"/>
  <c r="S965" i="33"/>
  <c r="Q944" i="33"/>
  <c r="R934" i="33"/>
  <c r="O923" i="33"/>
  <c r="N905" i="33"/>
  <c r="P896" i="33"/>
  <c r="P890" i="33"/>
  <c r="N883" i="33"/>
  <c r="N877" i="33"/>
  <c r="P870" i="33"/>
  <c r="R855" i="33"/>
  <c r="P850" i="33"/>
  <c r="R843" i="33"/>
  <c r="N837" i="33"/>
  <c r="P830" i="33"/>
  <c r="N825" i="33"/>
  <c r="P809" i="33"/>
  <c r="O1269" i="33"/>
  <c r="O1179" i="33"/>
  <c r="O1049" i="33"/>
  <c r="N1152" i="33"/>
  <c r="R1053" i="33"/>
  <c r="Q1001" i="33"/>
  <c r="O956" i="33"/>
  <c r="O1207" i="33"/>
  <c r="S1096" i="33"/>
  <c r="N1399" i="33"/>
  <c r="P1111" i="33"/>
  <c r="Q1057" i="33"/>
  <c r="S1019" i="33"/>
  <c r="S975" i="33"/>
  <c r="N943" i="33"/>
  <c r="S907" i="33"/>
  <c r="Q886" i="33"/>
  <c r="O861" i="33"/>
  <c r="S839" i="33"/>
  <c r="S810" i="33"/>
  <c r="O796" i="33"/>
  <c r="R1316" i="33"/>
  <c r="O1168" i="33"/>
  <c r="Q1109" i="33"/>
  <c r="O1080" i="33"/>
  <c r="N1040" i="33"/>
  <c r="N1014" i="33"/>
  <c r="S997" i="33"/>
  <c r="N972" i="33"/>
  <c r="S957" i="33"/>
  <c r="N941" i="33"/>
  <c r="R927" i="33"/>
  <c r="R917" i="33"/>
  <c r="R901" i="33"/>
  <c r="R891" i="33"/>
  <c r="P886" i="33"/>
  <c r="P880" i="33"/>
  <c r="N873" i="33"/>
  <c r="N859" i="33"/>
  <c r="R853" i="33"/>
  <c r="P846" i="33"/>
  <c r="P840" i="33"/>
  <c r="P834" i="33"/>
  <c r="N827" i="33"/>
  <c r="R812" i="33"/>
  <c r="R806" i="33"/>
  <c r="O1194" i="33"/>
  <c r="N1101" i="33"/>
  <c r="Q1047" i="33"/>
  <c r="R1004" i="33"/>
  <c r="P992" i="33"/>
  <c r="S971" i="33"/>
  <c r="R957" i="33"/>
  <c r="Q940" i="33"/>
  <c r="N928" i="33"/>
  <c r="S906" i="33"/>
  <c r="Q897" i="33"/>
  <c r="Q889" i="33"/>
  <c r="S878" i="33"/>
  <c r="P861" i="33"/>
  <c r="N852" i="33"/>
  <c r="P841" i="33"/>
  <c r="P833" i="33"/>
  <c r="N815" i="33"/>
  <c r="P804" i="33"/>
  <c r="R797" i="33"/>
  <c r="P792" i="33"/>
  <c r="R785" i="33"/>
  <c r="N781" i="33"/>
  <c r="P768" i="33"/>
  <c r="N763" i="33"/>
  <c r="N759" i="33"/>
  <c r="P754" i="33"/>
  <c r="N749" i="33"/>
  <c r="R745" i="33"/>
  <c r="R741" i="33"/>
  <c r="R730" i="33"/>
  <c r="P727" i="33"/>
  <c r="P723" i="33"/>
  <c r="N720" i="33"/>
  <c r="R716" i="33"/>
  <c r="R712" i="33"/>
  <c r="P709" i="33"/>
  <c r="N706" i="33"/>
  <c r="N694" i="33"/>
  <c r="P1185" i="33"/>
  <c r="N1122" i="33"/>
  <c r="Q1034" i="33"/>
  <c r="S1128" i="33"/>
  <c r="P1050" i="33"/>
  <c r="O1000" i="33"/>
  <c r="Q937" i="33"/>
  <c r="S1179" i="33"/>
  <c r="P1063" i="33"/>
  <c r="Q1187" i="33"/>
  <c r="R1105" i="33"/>
  <c r="S1050" i="33"/>
  <c r="Q1002" i="33"/>
  <c r="N966" i="33"/>
  <c r="R936" i="33"/>
  <c r="O903" i="33"/>
  <c r="Q882" i="33"/>
  <c r="S855" i="33"/>
  <c r="S831" i="33"/>
  <c r="Q807" i="33"/>
  <c r="Q793" i="33"/>
  <c r="R1231" i="33"/>
  <c r="S1148" i="33"/>
  <c r="S1106" i="33"/>
  <c r="N1064" i="33"/>
  <c r="P1037" i="33"/>
  <c r="R1008" i="33"/>
  <c r="R991" i="33"/>
  <c r="P970" i="33"/>
  <c r="N957" i="33"/>
  <c r="R935" i="33"/>
  <c r="N925" i="33"/>
  <c r="N917" i="33"/>
  <c r="N899" i="33"/>
  <c r="N891" i="33"/>
  <c r="N885" i="33"/>
  <c r="R877" i="33"/>
  <c r="P872" i="33"/>
  <c r="P858" i="33"/>
  <c r="N851" i="33"/>
  <c r="N845" i="33"/>
  <c r="R839" i="33"/>
  <c r="P832" i="33"/>
  <c r="P826" i="33"/>
  <c r="R810" i="33"/>
  <c r="N804" i="33"/>
  <c r="Q1183" i="33"/>
  <c r="P1090" i="33"/>
  <c r="Q1031" i="33"/>
  <c r="O1001" i="33"/>
  <c r="Q982" i="33"/>
  <c r="P968" i="33"/>
  <c r="S955" i="33"/>
  <c r="N937" i="33"/>
  <c r="R922" i="33"/>
  <c r="Q905" i="33"/>
  <c r="O896" i="33"/>
  <c r="Q885" i="33"/>
  <c r="O876" i="33"/>
  <c r="N860" i="33"/>
  <c r="P849" i="33"/>
  <c r="N840" i="33"/>
  <c r="R830" i="33"/>
  <c r="N811" i="33"/>
  <c r="N803" i="33"/>
  <c r="R796" i="33"/>
  <c r="R789" i="33"/>
  <c r="P784" i="33"/>
  <c r="P780" i="33"/>
  <c r="N767" i="33"/>
  <c r="P762" i="33"/>
  <c r="R757" i="33"/>
  <c r="P752" i="33"/>
  <c r="P748" i="33"/>
  <c r="P744" i="33"/>
  <c r="N741" i="33"/>
  <c r="N730" i="33"/>
  <c r="N726" i="33"/>
  <c r="R722" i="33"/>
  <c r="P719" i="33"/>
  <c r="P715" i="33"/>
  <c r="N712" i="33"/>
  <c r="R708" i="33"/>
  <c r="R704" i="33"/>
  <c r="P693" i="33"/>
  <c r="S1061" i="33"/>
  <c r="O964" i="33"/>
  <c r="S1150" i="33"/>
  <c r="S943" i="33"/>
  <c r="O845" i="33"/>
  <c r="Q1178" i="33"/>
  <c r="P1019" i="33"/>
  <c r="S941" i="33"/>
  <c r="R895" i="33"/>
  <c r="N861" i="33"/>
  <c r="R835" i="33"/>
  <c r="P1380" i="33"/>
  <c r="O1058" i="33"/>
  <c r="P999" i="33"/>
  <c r="R964" i="33"/>
  <c r="P933" i="33"/>
  <c r="S902" i="33"/>
  <c r="O884" i="33"/>
  <c r="N856" i="33"/>
  <c r="R838" i="33"/>
  <c r="R809" i="33"/>
  <c r="N794" i="33"/>
  <c r="R783" i="33"/>
  <c r="R765" i="33"/>
  <c r="P756" i="33"/>
  <c r="N747" i="33"/>
  <c r="R732" i="33"/>
  <c r="P725" i="33"/>
  <c r="N718" i="33"/>
  <c r="P711" i="33"/>
  <c r="N704" i="33"/>
  <c r="R690" i="33"/>
  <c r="P687" i="33"/>
  <c r="P683" i="33"/>
  <c r="N680" i="33"/>
  <c r="R676" i="33"/>
  <c r="R672" i="33"/>
  <c r="P669" i="33"/>
  <c r="N666" i="33"/>
  <c r="P655" i="33"/>
  <c r="N652" i="33"/>
  <c r="R648" i="33"/>
  <c r="R644" i="33"/>
  <c r="P641" i="33"/>
  <c r="N638" i="33"/>
  <c r="N1248" i="33"/>
  <c r="O1170" i="33"/>
  <c r="P1123" i="33"/>
  <c r="P1094" i="33"/>
  <c r="O1062" i="33"/>
  <c r="S1040" i="33"/>
  <c r="O1015" i="33"/>
  <c r="Q1004" i="33"/>
  <c r="P997" i="33"/>
  <c r="P982" i="33"/>
  <c r="O975" i="33"/>
  <c r="N968" i="33"/>
  <c r="N961" i="33"/>
  <c r="O945" i="33"/>
  <c r="N938" i="33"/>
  <c r="N931" i="33"/>
  <c r="S923" i="33"/>
  <c r="Q917" i="33"/>
  <c r="N904" i="33"/>
  <c r="R898" i="33"/>
  <c r="P893" i="33"/>
  <c r="N888" i="33"/>
  <c r="R882" i="33"/>
  <c r="P877" i="33"/>
  <c r="N872" i="33"/>
  <c r="O858" i="33"/>
  <c r="S852" i="33"/>
  <c r="Q847" i="33"/>
  <c r="O842" i="33"/>
  <c r="S836" i="33"/>
  <c r="Q831" i="33"/>
  <c r="O826" i="33"/>
  <c r="S811" i="33"/>
  <c r="Q806" i="33"/>
  <c r="S801" i="33"/>
  <c r="P798" i="33"/>
  <c r="R794" i="33"/>
  <c r="O791" i="33"/>
  <c r="R787" i="33"/>
  <c r="S784" i="33"/>
  <c r="Q1078" i="33"/>
  <c r="R1137" i="33"/>
  <c r="N1013" i="33"/>
  <c r="N1096" i="33"/>
  <c r="S1189" i="33"/>
  <c r="N1267" i="33"/>
  <c r="R749" i="33"/>
  <c r="R753" i="33"/>
  <c r="N757" i="33"/>
  <c r="P760" i="33"/>
  <c r="P764" i="33"/>
  <c r="R767" i="33"/>
  <c r="N779" i="33"/>
  <c r="N783" i="33"/>
  <c r="P786" i="33"/>
  <c r="Q790" i="33"/>
  <c r="S795" i="33"/>
  <c r="P800" i="33"/>
  <c r="R805" i="33"/>
  <c r="R813" i="33"/>
  <c r="P829" i="33"/>
  <c r="N836" i="33"/>
  <c r="N844" i="33"/>
  <c r="R850" i="33"/>
  <c r="P857" i="33"/>
  <c r="Q873" i="33"/>
  <c r="O880" i="33"/>
  <c r="S886" i="33"/>
  <c r="S894" i="33"/>
  <c r="Q901" i="33"/>
  <c r="R916" i="33"/>
  <c r="P926" i="33"/>
  <c r="O935" i="33"/>
  <c r="N944" i="33"/>
  <c r="O961" i="33"/>
  <c r="N970" i="33"/>
  <c r="N979" i="33"/>
  <c r="R997" i="33"/>
  <c r="Q1006" i="33"/>
  <c r="S1036" i="33"/>
  <c r="N1085" i="33"/>
  <c r="P1139" i="33"/>
  <c r="Q1209" i="33"/>
  <c r="P805" i="33"/>
  <c r="N810" i="33"/>
  <c r="R814" i="33"/>
  <c r="N829" i="33"/>
  <c r="N833" i="33"/>
  <c r="R837" i="33"/>
  <c r="N843" i="33"/>
  <c r="R847" i="33"/>
  <c r="R851" i="33"/>
  <c r="N857" i="33"/>
  <c r="R861" i="33"/>
  <c r="P874" i="33"/>
  <c r="R879" i="33"/>
  <c r="R883" i="33"/>
  <c r="P888" i="33"/>
  <c r="P894" i="33"/>
  <c r="R899" i="33"/>
  <c r="P906" i="33"/>
  <c r="P921" i="33"/>
  <c r="P930" i="33"/>
  <c r="P937" i="33"/>
  <c r="P954" i="33"/>
  <c r="N965" i="33"/>
  <c r="R975" i="33"/>
  <c r="N996" i="33"/>
  <c r="S1005" i="33"/>
  <c r="R1020" i="33"/>
  <c r="P1049" i="33"/>
  <c r="S1078" i="33"/>
  <c r="S1098" i="33"/>
  <c r="R1134" i="33"/>
  <c r="Q1170" i="33"/>
  <c r="R1250" i="33"/>
  <c r="O792" i="33"/>
  <c r="O802" i="33"/>
  <c r="S812" i="33"/>
  <c r="Q838" i="33"/>
  <c r="Q852" i="33"/>
  <c r="O873" i="33"/>
  <c r="Q890" i="33"/>
  <c r="O905" i="33"/>
  <c r="P932" i="33"/>
  <c r="S959" i="33"/>
  <c r="R977" i="33"/>
  <c r="N1006" i="33"/>
  <c r="S1046" i="33"/>
  <c r="P1084" i="33"/>
  <c r="P1131" i="33"/>
  <c r="O1227" i="33"/>
  <c r="N1054" i="33"/>
  <c r="S1124" i="33"/>
  <c r="O920" i="33"/>
  <c r="O944" i="33"/>
  <c r="Q977" i="33"/>
  <c r="P1032" i="33"/>
  <c r="P1066" i="33"/>
  <c r="Q1104" i="33"/>
  <c r="S1178" i="33"/>
  <c r="R1019" i="33"/>
  <c r="R1080" i="33"/>
  <c r="P1151" i="33"/>
  <c r="Q1134" i="33"/>
  <c r="O1346" i="33"/>
  <c r="P1211" i="33"/>
  <c r="N1252" i="33"/>
  <c r="N1192" i="33"/>
  <c r="O1151" i="33"/>
  <c r="S1408" i="33"/>
  <c r="S1185" i="33"/>
  <c r="R1139" i="33"/>
  <c r="R1102" i="33"/>
  <c r="N1086" i="33"/>
  <c r="O1059" i="33"/>
  <c r="O1035" i="33"/>
  <c r="P1008" i="33"/>
  <c r="S1241" i="33"/>
  <c r="Q1169" i="33"/>
  <c r="O1142" i="33"/>
  <c r="N1120" i="33"/>
  <c r="Q1096" i="33"/>
  <c r="O1083" i="33"/>
  <c r="R1059" i="33"/>
  <c r="N1045" i="33"/>
  <c r="O1020" i="33"/>
  <c r="S1008" i="33"/>
  <c r="O992" i="33"/>
  <c r="S970" i="33"/>
  <c r="O960" i="33"/>
  <c r="S938" i="33"/>
  <c r="Q929" i="33"/>
  <c r="R1356" i="33"/>
  <c r="Q1182" i="33"/>
  <c r="S1140" i="33"/>
  <c r="Q1107" i="33"/>
  <c r="O1082" i="33"/>
  <c r="R1052" i="33"/>
  <c r="P1031" i="33"/>
  <c r="Q1244" i="33"/>
  <c r="O1182" i="33"/>
  <c r="P1147" i="33"/>
  <c r="P1122" i="33"/>
  <c r="R1097" i="33"/>
  <c r="N1083" i="33"/>
  <c r="Q1061" i="33"/>
  <c r="Q1049" i="33"/>
  <c r="O1036" i="33"/>
  <c r="Q1014" i="33"/>
  <c r="O1005" i="33"/>
  <c r="P996" i="33"/>
  <c r="P979" i="33"/>
  <c r="Q970" i="33"/>
  <c r="P963" i="33"/>
  <c r="Q954" i="33"/>
  <c r="R937" i="33"/>
  <c r="R929" i="33"/>
  <c r="S919" i="33"/>
  <c r="Q906" i="33"/>
  <c r="Q900" i="33"/>
  <c r="O893" i="33"/>
  <c r="O887" i="33"/>
  <c r="S881" i="33"/>
  <c r="Q874" i="33"/>
  <c r="Q860" i="33"/>
  <c r="Q854" i="33"/>
  <c r="O847" i="33"/>
  <c r="S841" i="33"/>
  <c r="S835" i="33"/>
  <c r="Q828" i="33"/>
  <c r="Q813" i="33"/>
  <c r="Q809" i="33"/>
  <c r="O804" i="33"/>
  <c r="Q799" i="33"/>
  <c r="S794" i="33"/>
  <c r="Q789" i="33"/>
  <c r="N1437" i="33"/>
  <c r="N1286" i="33"/>
  <c r="P1210" i="33"/>
  <c r="O1181" i="33"/>
  <c r="P1166" i="33"/>
  <c r="P1145" i="33"/>
  <c r="S1132" i="33"/>
  <c r="P1120" i="33"/>
  <c r="Q1101" i="33"/>
  <c r="Q1093" i="33"/>
  <c r="O1084" i="33"/>
  <c r="P1065" i="33"/>
  <c r="N1056" i="33"/>
  <c r="N1048" i="33"/>
  <c r="P1172" i="33"/>
  <c r="Q1227" i="33"/>
  <c r="O1149" i="33"/>
  <c r="N1257" i="33"/>
  <c r="S1146" i="33"/>
  <c r="N1100" i="33"/>
  <c r="P1075" i="33"/>
  <c r="S1043" i="33"/>
  <c r="R1335" i="33"/>
  <c r="O1184" i="33"/>
  <c r="N1143" i="33"/>
  <c r="S1109" i="33"/>
  <c r="S1091" i="33"/>
  <c r="R1063" i="33"/>
  <c r="N1041" i="33"/>
  <c r="Q1013" i="33"/>
  <c r="Q995" i="33"/>
  <c r="Q969" i="33"/>
  <c r="Q945" i="33"/>
  <c r="Q931" i="33"/>
  <c r="P1254" i="33"/>
  <c r="O1167" i="33"/>
  <c r="O1110" i="33"/>
  <c r="S1076" i="33"/>
  <c r="R1040" i="33"/>
  <c r="O1334" i="33"/>
  <c r="Q1171" i="33"/>
  <c r="N1133" i="33"/>
  <c r="P1100" i="33"/>
  <c r="R1077" i="33"/>
  <c r="O1056" i="33"/>
  <c r="O1040" i="33"/>
  <c r="S1011" i="33"/>
  <c r="S999" i="33"/>
  <c r="N991" i="33"/>
  <c r="R969" i="33"/>
  <c r="N959" i="33"/>
  <c r="P939" i="33"/>
  <c r="N927" i="33"/>
  <c r="Q918" i="33"/>
  <c r="O901" i="33"/>
  <c r="Q892" i="33"/>
  <c r="S883" i="33"/>
  <c r="Q876" i="33"/>
  <c r="S859" i="33"/>
  <c r="Q850" i="33"/>
  <c r="Q842" i="33"/>
  <c r="O833" i="33"/>
  <c r="S825" i="33"/>
  <c r="O810" i="33"/>
  <c r="S802" i="33"/>
  <c r="S796" i="33"/>
  <c r="Q791" i="33"/>
  <c r="O1347" i="33"/>
  <c r="R1243" i="33"/>
  <c r="Q1186" i="33"/>
  <c r="O1154" i="33"/>
  <c r="N1140" i="33"/>
  <c r="N1124" i="33"/>
  <c r="O1100" i="33"/>
  <c r="O1088" i="33"/>
  <c r="Q1077" i="33"/>
  <c r="R1054" i="33"/>
  <c r="R1042" i="33"/>
  <c r="P1033" i="33"/>
  <c r="P1015" i="33"/>
  <c r="R1006" i="33"/>
  <c r="P1001" i="33"/>
  <c r="P994" i="33"/>
  <c r="N980" i="33"/>
  <c r="S973" i="33"/>
  <c r="R966" i="33"/>
  <c r="P961" i="33"/>
  <c r="N956" i="33"/>
  <c r="R942" i="33"/>
  <c r="P938" i="33"/>
  <c r="S933" i="33"/>
  <c r="Q928" i="33"/>
  <c r="N924" i="33"/>
  <c r="R919" i="33"/>
  <c r="R907" i="33"/>
  <c r="P904" i="33"/>
  <c r="N901" i="33"/>
  <c r="N897" i="33"/>
  <c r="R893" i="33"/>
  <c r="S1253" i="33"/>
  <c r="P1177" i="33"/>
  <c r="Q1302" i="33"/>
  <c r="S1130" i="33"/>
  <c r="R1088" i="33"/>
  <c r="S1047" i="33"/>
  <c r="P1270" i="33"/>
  <c r="Q1155" i="33"/>
  <c r="N1127" i="33"/>
  <c r="S1085" i="33"/>
  <c r="R1051" i="33"/>
  <c r="Q1019" i="33"/>
  <c r="Q979" i="33"/>
  <c r="Q963" i="33"/>
  <c r="S936" i="33"/>
  <c r="O1247" i="33"/>
  <c r="N1139" i="33"/>
  <c r="S1088" i="33"/>
  <c r="P1035" i="33"/>
  <c r="S1206" i="33"/>
  <c r="P1138" i="33"/>
  <c r="R1093" i="33"/>
  <c r="Q1065" i="33"/>
  <c r="Q1041" i="33"/>
  <c r="Q1010" i="33"/>
  <c r="R992" i="33"/>
  <c r="O973" i="33"/>
  <c r="P956" i="33"/>
  <c r="O933" i="33"/>
  <c r="O919" i="33"/>
  <c r="S897" i="33"/>
  <c r="O889" i="33"/>
  <c r="Q878" i="33"/>
  <c r="O857" i="33"/>
  <c r="Q846" i="33"/>
  <c r="Q836" i="33"/>
  <c r="S814" i="33"/>
  <c r="S806" i="33"/>
  <c r="S798" i="33"/>
  <c r="S788" i="33"/>
  <c r="P1295" i="33"/>
  <c r="S1191" i="33"/>
  <c r="P1152" i="33"/>
  <c r="N1131" i="33"/>
  <c r="Q1105" i="33"/>
  <c r="Q1085" i="33"/>
  <c r="P1061" i="33"/>
  <c r="N1044" i="33"/>
  <c r="P1029" i="33"/>
  <c r="P1011" i="33"/>
  <c r="P1002" i="33"/>
  <c r="Q992" i="33"/>
  <c r="Q976" i="33"/>
  <c r="P969" i="33"/>
  <c r="R959" i="33"/>
  <c r="P945" i="33"/>
  <c r="O939" i="33"/>
  <c r="N932" i="33"/>
  <c r="R926" i="33"/>
  <c r="Q920" i="33"/>
  <c r="N907" i="33"/>
  <c r="P902" i="33"/>
  <c r="P898" i="33"/>
  <c r="N893" i="33"/>
  <c r="N889" i="33"/>
  <c r="R885" i="33"/>
  <c r="P882" i="33"/>
  <c r="P878" i="33"/>
  <c r="N875" i="33"/>
  <c r="R871" i="33"/>
  <c r="R859" i="33"/>
  <c r="P856" i="33"/>
  <c r="N853" i="33"/>
  <c r="N849" i="33"/>
  <c r="R845" i="33"/>
  <c r="P842" i="33"/>
  <c r="P838" i="33"/>
  <c r="N835" i="33"/>
  <c r="R831" i="33"/>
  <c r="R827" i="33"/>
  <c r="P815" i="33"/>
  <c r="N812" i="33"/>
  <c r="N808" i="33"/>
  <c r="R804" i="33"/>
  <c r="R1314" i="33"/>
  <c r="Q1153" i="33"/>
  <c r="P1106" i="33"/>
  <c r="R1079" i="33"/>
  <c r="O1042" i="33"/>
  <c r="O1011" i="33"/>
  <c r="N1003" i="33"/>
  <c r="S995" i="33"/>
  <c r="R980" i="33"/>
  <c r="R973" i="33"/>
  <c r="Q966" i="33"/>
  <c r="P959" i="33"/>
  <c r="S945" i="33"/>
  <c r="R938" i="33"/>
  <c r="R931" i="33"/>
  <c r="Q924" i="33"/>
  <c r="N918" i="33"/>
  <c r="O904" i="33"/>
  <c r="S898" i="33"/>
  <c r="Q893" i="33"/>
  <c r="O888" i="33"/>
  <c r="S882" i="33"/>
  <c r="Q877" i="33"/>
  <c r="O872" i="33"/>
  <c r="R858" i="33"/>
  <c r="P853" i="33"/>
  <c r="N848" i="33"/>
  <c r="R842" i="33"/>
  <c r="P837" i="33"/>
  <c r="N832" i="33"/>
  <c r="R826" i="33"/>
  <c r="P812" i="33"/>
  <c r="N807" i="33"/>
  <c r="N802" i="33"/>
  <c r="Q798" i="33"/>
  <c r="N795" i="33"/>
  <c r="P791" i="33"/>
  <c r="S787" i="33"/>
  <c r="N785" i="33"/>
  <c r="P782" i="33"/>
  <c r="R779" i="33"/>
  <c r="N769" i="33"/>
  <c r="P766" i="33"/>
  <c r="R763" i="33"/>
  <c r="N761" i="33"/>
  <c r="P758" i="33"/>
  <c r="R755" i="33"/>
  <c r="N753" i="33"/>
  <c r="P750" i="33"/>
  <c r="R747" i="33"/>
  <c r="N745" i="33"/>
  <c r="P742" i="33"/>
  <c r="N732" i="33"/>
  <c r="P729" i="33"/>
  <c r="R726" i="33"/>
  <c r="N724" i="33"/>
  <c r="P721" i="33"/>
  <c r="R718" i="33"/>
  <c r="N716" i="33"/>
  <c r="P713" i="33"/>
  <c r="R710" i="33"/>
  <c r="N708" i="33"/>
  <c r="P705" i="33"/>
  <c r="R694" i="33"/>
  <c r="N692" i="33"/>
  <c r="P689" i="33"/>
  <c r="R686" i="33"/>
  <c r="N684" i="33"/>
  <c r="P681" i="33"/>
  <c r="R678" i="33"/>
  <c r="N676" i="33"/>
  <c r="P673" i="33"/>
  <c r="R670" i="33"/>
  <c r="N668" i="33"/>
  <c r="R658" i="33"/>
  <c r="N656" i="33"/>
  <c r="P653" i="33"/>
  <c r="R650" i="33"/>
  <c r="N648" i="33"/>
  <c r="P645" i="33"/>
  <c r="R642" i="33"/>
  <c r="N640" i="33"/>
  <c r="P637" i="33"/>
  <c r="S1303" i="33"/>
  <c r="Q1191" i="33"/>
  <c r="R1144" i="33"/>
  <c r="O1137" i="33"/>
  <c r="R1176" i="33"/>
  <c r="N1223" i="33"/>
  <c r="N1304" i="33"/>
  <c r="O1217" i="33"/>
  <c r="Q1063" i="33"/>
  <c r="R1095" i="33"/>
  <c r="O1132" i="33"/>
  <c r="S1172" i="33"/>
  <c r="O1255" i="33"/>
  <c r="P803" i="33"/>
  <c r="N806" i="33"/>
  <c r="R808" i="33"/>
  <c r="P811" i="33"/>
  <c r="N814" i="33"/>
  <c r="R825" i="33"/>
  <c r="P828" i="33"/>
  <c r="N831" i="33"/>
  <c r="R833" i="33"/>
  <c r="P836" i="33"/>
  <c r="N839" i="33"/>
  <c r="R841" i="33"/>
  <c r="P844" i="33"/>
  <c r="N847" i="33"/>
  <c r="R849" i="33"/>
  <c r="P852" i="33"/>
  <c r="N855" i="33"/>
  <c r="R857" i="33"/>
  <c r="P860" i="33"/>
  <c r="N871" i="33"/>
  <c r="R873" i="33"/>
  <c r="P876" i="33"/>
  <c r="N879" i="33"/>
  <c r="R881" i="33"/>
  <c r="P884" i="33"/>
  <c r="N887" i="33"/>
  <c r="R889" i="33"/>
  <c r="P892" i="33"/>
  <c r="N895" i="33"/>
  <c r="R897" i="33"/>
  <c r="P900" i="33"/>
  <c r="N903" i="33"/>
  <c r="R905" i="33"/>
  <c r="P916" i="33"/>
  <c r="N919" i="33"/>
  <c r="P922" i="33"/>
  <c r="S925" i="33"/>
  <c r="P929" i="33"/>
  <c r="N933" i="33"/>
  <c r="Q936" i="33"/>
  <c r="N940" i="33"/>
  <c r="R943" i="33"/>
  <c r="O955" i="33"/>
  <c r="R958" i="33"/>
  <c r="O963" i="33"/>
  <c r="Q968" i="33"/>
  <c r="N973" i="33"/>
  <c r="P977" i="33"/>
  <c r="R982" i="33"/>
  <c r="O995" i="33"/>
  <c r="R999" i="33"/>
  <c r="N1005" i="33"/>
  <c r="N1010" i="33"/>
  <c r="R1016" i="33"/>
  <c r="N1032" i="33"/>
  <c r="R1038" i="33"/>
  <c r="P1045" i="33"/>
  <c r="P1053" i="33"/>
  <c r="N1060" i="33"/>
  <c r="R1066" i="33"/>
  <c r="S1082" i="33"/>
  <c r="Q1089" i="33"/>
  <c r="O1096" i="33"/>
  <c r="O1104" i="33"/>
  <c r="O1111" i="33"/>
  <c r="Q1127" i="33"/>
  <c r="O1138" i="33"/>
  <c r="N1147" i="33"/>
  <c r="N1156" i="33"/>
  <c r="S1175" i="33"/>
  <c r="O1189" i="33"/>
  <c r="Q1217" i="33"/>
  <c r="N1265" i="33"/>
  <c r="O1332" i="33"/>
  <c r="S1508" i="33"/>
  <c r="S790" i="33"/>
  <c r="O794" i="33"/>
  <c r="Q797" i="33"/>
  <c r="Q801" i="33"/>
  <c r="S804" i="33"/>
  <c r="O808" i="33"/>
  <c r="O812" i="33"/>
  <c r="O825" i="33"/>
  <c r="O829" i="33"/>
  <c r="Q834" i="33"/>
  <c r="O839" i="33"/>
  <c r="S843" i="33"/>
  <c r="O849" i="33"/>
  <c r="O853" i="33"/>
  <c r="S857" i="33"/>
  <c r="O871" i="33"/>
  <c r="S875" i="33"/>
  <c r="S879" i="33"/>
  <c r="O885" i="33"/>
  <c r="S889" i="33"/>
  <c r="Q894" i="33"/>
  <c r="S899" i="33"/>
  <c r="S903" i="33"/>
  <c r="Q916" i="33"/>
  <c r="Q922" i="33"/>
  <c r="R928" i="33"/>
  <c r="N934" i="33"/>
  <c r="O941" i="33"/>
  <c r="P955" i="33"/>
  <c r="R961" i="33"/>
  <c r="R968" i="33"/>
  <c r="N974" i="33"/>
  <c r="P980" i="33"/>
  <c r="P995" i="33"/>
  <c r="R1001" i="33"/>
  <c r="N1007" i="33"/>
  <c r="O1017" i="33"/>
  <c r="S1034" i="33"/>
  <c r="O1044" i="33"/>
  <c r="S1054" i="33"/>
  <c r="S1062" i="33"/>
  <c r="N1079" i="33"/>
  <c r="P1092" i="33"/>
  <c r="P1104" i="33"/>
  <c r="O1124" i="33"/>
  <c r="R1143" i="33"/>
  <c r="S1168" i="33"/>
  <c r="S1192" i="33"/>
  <c r="S1298" i="33"/>
  <c r="P1017" i="33"/>
  <c r="N1042" i="33"/>
  <c r="N1062" i="33"/>
  <c r="O1086" i="33"/>
  <c r="Q1099" i="33"/>
  <c r="N1132" i="33"/>
  <c r="P1153" i="33"/>
  <c r="O1193" i="33"/>
  <c r="Q1309" i="33"/>
  <c r="O924" i="33"/>
  <c r="Q933" i="33"/>
  <c r="O942" i="33"/>
  <c r="S958" i="33"/>
  <c r="O966" i="33"/>
  <c r="S974" i="33"/>
  <c r="S994" i="33"/>
  <c r="Q1005" i="33"/>
  <c r="Q1017" i="33"/>
  <c r="N1035" i="33"/>
  <c r="R1045" i="33"/>
  <c r="N1059" i="33"/>
  <c r="S1077" i="33"/>
  <c r="Q1086" i="33"/>
  <c r="S1099" i="33"/>
  <c r="R1110" i="33"/>
  <c r="P1132" i="33"/>
  <c r="O1150" i="33"/>
  <c r="O1172" i="33"/>
  <c r="S1194" i="33"/>
  <c r="O1318" i="33"/>
  <c r="P1016" i="33"/>
  <c r="S1037" i="33"/>
  <c r="Q1054" i="33"/>
  <c r="P1077" i="33"/>
  <c r="P1093" i="33"/>
  <c r="P1109" i="33"/>
  <c r="R1132" i="33"/>
  <c r="Q1157" i="33"/>
  <c r="P1226" i="33"/>
  <c r="Q1124" i="33"/>
  <c r="Q1140" i="33"/>
  <c r="N1170" i="33"/>
  <c r="P1191" i="33"/>
  <c r="S1251" i="33"/>
  <c r="N1519" i="33"/>
  <c r="N1181" i="33"/>
  <c r="O1358" i="33"/>
  <c r="Q1463" i="33"/>
  <c r="P1207" i="33"/>
  <c r="O1210" i="33"/>
  <c r="Q1299" i="33"/>
  <c r="R1472" i="33"/>
  <c r="S1283" i="33"/>
  <c r="O1249" i="33"/>
  <c r="O1206" i="33"/>
  <c r="R1184" i="33"/>
  <c r="R1172" i="33"/>
  <c r="O1153" i="33"/>
  <c r="S1143" i="33"/>
  <c r="S1131" i="33"/>
  <c r="R1111" i="33"/>
  <c r="R1267" i="33"/>
  <c r="P1206" i="33"/>
  <c r="O1175" i="33"/>
  <c r="R1147" i="33"/>
  <c r="O1136" i="33"/>
  <c r="R1123" i="33"/>
  <c r="P1107" i="33"/>
  <c r="P1099" i="33"/>
  <c r="P1089" i="33"/>
  <c r="P1081" i="33"/>
  <c r="Q1066" i="33"/>
  <c r="Q1056" i="33"/>
  <c r="Q1048" i="33"/>
  <c r="Q1040" i="33"/>
  <c r="Q1030" i="33"/>
  <c r="R1015" i="33"/>
  <c r="O1482" i="33"/>
  <c r="Q1282" i="33"/>
  <c r="Q1225" i="33"/>
  <c r="S1190" i="33"/>
  <c r="S1174" i="33"/>
  <c r="P1156" i="33"/>
  <c r="P1148" i="33"/>
  <c r="R1138" i="33"/>
  <c r="Q1131" i="33"/>
  <c r="Q1123" i="33"/>
  <c r="O1107" i="33"/>
  <c r="O1101" i="33"/>
  <c r="S1095" i="33"/>
  <c r="Q1088" i="33"/>
  <c r="Q1082" i="33"/>
  <c r="S1075" i="33"/>
  <c r="N1061" i="33"/>
  <c r="R1055" i="33"/>
  <c r="N1049" i="33"/>
  <c r="P1042" i="33"/>
  <c r="R1035" i="33"/>
  <c r="P1030" i="33"/>
  <c r="O1016" i="33"/>
  <c r="Q1009" i="33"/>
  <c r="Q1003" i="33"/>
  <c r="O996" i="33"/>
  <c r="S982" i="33"/>
  <c r="S976" i="33"/>
  <c r="Q971" i="33"/>
  <c r="S966" i="33"/>
  <c r="S962" i="33"/>
  <c r="Q957" i="33"/>
  <c r="S944" i="33"/>
  <c r="O940" i="33"/>
  <c r="S934" i="33"/>
  <c r="S930" i="33"/>
  <c r="O926" i="33"/>
  <c r="S920" i="33"/>
  <c r="R1290" i="33"/>
  <c r="O1228" i="33"/>
  <c r="S1187" i="33"/>
  <c r="O1169" i="33"/>
  <c r="N1148" i="33"/>
  <c r="R1133" i="33"/>
  <c r="N1123" i="33"/>
  <c r="Q1103" i="33"/>
  <c r="S1092" i="33"/>
  <c r="Q1083" i="33"/>
  <c r="Q1075" i="33"/>
  <c r="R1056" i="33"/>
  <c r="P1047" i="33"/>
  <c r="N1038" i="33"/>
  <c r="R1018" i="33"/>
  <c r="N1468" i="33"/>
  <c r="Q1289" i="33"/>
  <c r="S1333" i="33"/>
  <c r="S1255" i="33"/>
  <c r="P1338" i="33"/>
  <c r="N1329" i="33"/>
  <c r="R1252" i="33"/>
  <c r="S1215" i="33"/>
  <c r="N1182" i="33"/>
  <c r="R1166" i="33"/>
  <c r="O1145" i="33"/>
  <c r="O1127" i="33"/>
  <c r="O1354" i="33"/>
  <c r="O1219" i="33"/>
  <c r="Q1168" i="33"/>
  <c r="Q1141" i="33"/>
  <c r="O1128" i="33"/>
  <c r="P1105" i="33"/>
  <c r="R1094" i="33"/>
  <c r="N1084" i="33"/>
  <c r="Q1062" i="33"/>
  <c r="O1053" i="33"/>
  <c r="Q1042" i="33"/>
  <c r="S1029" i="33"/>
  <c r="N1011" i="33"/>
  <c r="N1306" i="33"/>
  <c r="S1214" i="33"/>
  <c r="S1182" i="33"/>
  <c r="P1157" i="33"/>
  <c r="R1145" i="33"/>
  <c r="N1136" i="33"/>
  <c r="P1124" i="33"/>
  <c r="Q1106" i="33"/>
  <c r="O1097" i="33"/>
  <c r="Q1090" i="33"/>
  <c r="O1081" i="33"/>
  <c r="P1064" i="33"/>
  <c r="P1056" i="33"/>
  <c r="P1046" i="33"/>
  <c r="R1039" i="33"/>
  <c r="R1031" i="33"/>
  <c r="O1014" i="33"/>
  <c r="O1006" i="33"/>
  <c r="S998" i="33"/>
  <c r="Q981" i="33"/>
  <c r="O974" i="33"/>
  <c r="O968" i="33"/>
  <c r="S960" i="33"/>
  <c r="Q955" i="33"/>
  <c r="Q941" i="33"/>
  <c r="O934" i="33"/>
  <c r="O928" i="33"/>
  <c r="S922" i="33"/>
  <c r="Q1281" i="33"/>
  <c r="P1204" i="33"/>
  <c r="S1171" i="33"/>
  <c r="P1144" i="33"/>
  <c r="O1130" i="33"/>
  <c r="S1104" i="33"/>
  <c r="Q1091" i="33"/>
  <c r="O1078" i="33"/>
  <c r="P1059" i="33"/>
  <c r="N1046" i="33"/>
  <c r="R1032" i="33"/>
  <c r="N1012" i="33"/>
  <c r="R1251" i="33"/>
  <c r="N1204" i="33"/>
  <c r="Q1179" i="33"/>
  <c r="R1152" i="33"/>
  <c r="O1140" i="33"/>
  <c r="Q1129" i="33"/>
  <c r="P1108" i="33"/>
  <c r="N1099" i="33"/>
  <c r="R1089" i="33"/>
  <c r="P1080" i="33"/>
  <c r="S1066" i="33"/>
  <c r="O1060" i="33"/>
  <c r="O1052" i="33"/>
  <c r="Q1045" i="33"/>
  <c r="S1038" i="33"/>
  <c r="S1030" i="33"/>
  <c r="S1015" i="33"/>
  <c r="O1009" i="33"/>
  <c r="P1003" i="33"/>
  <c r="N999" i="33"/>
  <c r="Q994" i="33"/>
  <c r="O981" i="33"/>
  <c r="R976" i="33"/>
  <c r="P972" i="33"/>
  <c r="N967" i="33"/>
  <c r="Q962" i="33"/>
  <c r="N958" i="33"/>
  <c r="R944" i="33"/>
  <c r="P940" i="33"/>
  <c r="S935" i="33"/>
  <c r="Q930" i="33"/>
  <c r="N926" i="33"/>
  <c r="R921" i="33"/>
  <c r="O917" i="33"/>
  <c r="S905" i="33"/>
  <c r="Q902" i="33"/>
  <c r="Q898" i="33"/>
  <c r="O895" i="33"/>
  <c r="S891" i="33"/>
  <c r="S887" i="33"/>
  <c r="Q884" i="33"/>
  <c r="O881" i="33"/>
  <c r="O877" i="33"/>
  <c r="S873" i="33"/>
  <c r="Q870" i="33"/>
  <c r="Q858" i="33"/>
  <c r="O855" i="33"/>
  <c r="S851" i="33"/>
  <c r="S847" i="33"/>
  <c r="Q844" i="33"/>
  <c r="O841" i="33"/>
  <c r="O837" i="33"/>
  <c r="S833" i="33"/>
  <c r="Q830" i="33"/>
  <c r="Q826" i="33"/>
  <c r="O814" i="33"/>
  <c r="Q811" i="33"/>
  <c r="S808" i="33"/>
  <c r="O806" i="33"/>
  <c r="Q803" i="33"/>
  <c r="S800" i="33"/>
  <c r="O798" i="33"/>
  <c r="Q795" i="33"/>
  <c r="S792" i="33"/>
  <c r="O790" i="33"/>
  <c r="Q787" i="33"/>
  <c r="R1394" i="33"/>
  <c r="S1304" i="33"/>
  <c r="S1257" i="33"/>
  <c r="Q1224" i="33"/>
  <c r="Q1194" i="33"/>
  <c r="S1183" i="33"/>
  <c r="O1173" i="33"/>
  <c r="R1157" i="33"/>
  <c r="R1150" i="33"/>
  <c r="Q1143" i="33"/>
  <c r="P1136" i="33"/>
  <c r="P1129" i="33"/>
  <c r="O1122" i="33"/>
  <c r="O1108" i="33"/>
  <c r="S1102" i="33"/>
  <c r="Q1097" i="33"/>
  <c r="O1092" i="33"/>
  <c r="S1086" i="33"/>
  <c r="Q1081" i="33"/>
  <c r="O1076" i="33"/>
  <c r="R1062" i="33"/>
  <c r="P1057" i="33"/>
  <c r="N1052" i="33"/>
  <c r="R1046" i="33"/>
  <c r="P1041" i="33"/>
  <c r="N1036" i="33"/>
  <c r="R1030" i="33"/>
  <c r="N1018" i="33"/>
  <c r="R1012" i="33"/>
  <c r="R1007" i="33"/>
  <c r="N1004" i="33"/>
  <c r="Q1000" i="33"/>
  <c r="N997" i="33"/>
  <c r="P993" i="33"/>
  <c r="S981" i="33"/>
  <c r="P978" i="33"/>
  <c r="R974" i="33"/>
  <c r="O971" i="33"/>
  <c r="R967" i="33"/>
  <c r="N964" i="33"/>
  <c r="Q960" i="33"/>
  <c r="Q815" i="33"/>
  <c r="O827" i="33"/>
  <c r="S829" i="33"/>
  <c r="Q832" i="33"/>
  <c r="O835" i="33"/>
  <c r="S837" i="33"/>
  <c r="Q840" i="33"/>
  <c r="O843" i="33"/>
  <c r="S845" i="33"/>
  <c r="Q848" i="33"/>
  <c r="O851" i="33"/>
  <c r="S853" i="33"/>
  <c r="Q856" i="33"/>
  <c r="O859" i="33"/>
  <c r="S861" i="33"/>
  <c r="Q872" i="33"/>
  <c r="O875" i="33"/>
  <c r="S877" i="33"/>
  <c r="Q880" i="33"/>
  <c r="O883" i="33"/>
  <c r="S885" i="33"/>
  <c r="Q888" i="33"/>
  <c r="O891" i="33"/>
  <c r="S893" i="33"/>
  <c r="Q896" i="33"/>
  <c r="O899" i="33"/>
  <c r="S901" i="33"/>
  <c r="Q904" i="33"/>
  <c r="O907" i="33"/>
  <c r="S917" i="33"/>
  <c r="R920" i="33"/>
  <c r="P924" i="33"/>
  <c r="S927" i="33"/>
  <c r="P931" i="33"/>
  <c r="N935" i="33"/>
  <c r="Q938" i="33"/>
  <c r="N942" i="33"/>
  <c r="R945" i="33"/>
  <c r="O957" i="33"/>
  <c r="R960" i="33"/>
  <c r="P964" i="33"/>
  <c r="S967" i="33"/>
  <c r="P971" i="33"/>
  <c r="N975" i="33"/>
  <c r="Q978" i="33"/>
  <c r="N982" i="33"/>
  <c r="R993" i="33"/>
  <c r="O997" i="33"/>
  <c r="R1000" i="33"/>
  <c r="P1004" i="33"/>
  <c r="S1007" i="33"/>
  <c r="O1013" i="33"/>
  <c r="Q1018" i="33"/>
  <c r="O1032" i="33"/>
  <c r="Q1037" i="33"/>
  <c r="S1042" i="33"/>
  <c r="O1048" i="33"/>
  <c r="Q1053" i="33"/>
  <c r="S1058" i="33"/>
  <c r="O1064" i="33"/>
  <c r="P1076" i="33"/>
  <c r="R1081" i="33"/>
  <c r="P1088" i="33"/>
  <c r="N1095" i="33"/>
  <c r="N1103" i="33"/>
  <c r="R1109" i="33"/>
  <c r="N1126" i="33"/>
  <c r="R1136" i="33"/>
  <c r="Q1145" i="33"/>
  <c r="P1154" i="33"/>
  <c r="S1176" i="33"/>
  <c r="O1190" i="33"/>
  <c r="N1213" i="33"/>
  <c r="S1265" i="33"/>
  <c r="Q1349" i="33"/>
  <c r="P1013" i="33"/>
  <c r="N1030" i="33"/>
  <c r="R1036" i="33"/>
  <c r="P1043" i="33"/>
  <c r="P1051" i="33"/>
  <c r="N1058" i="33"/>
  <c r="R1064" i="33"/>
  <c r="S1080" i="33"/>
  <c r="Q1087" i="33"/>
  <c r="O1094" i="33"/>
  <c r="O1102" i="33"/>
  <c r="S1108" i="33"/>
  <c r="R1126" i="33"/>
  <c r="P1137" i="33"/>
  <c r="O1146" i="33"/>
  <c r="N1155" i="33"/>
  <c r="O1177" i="33"/>
  <c r="Q1190" i="33"/>
  <c r="S1213" i="33"/>
  <c r="Q1268" i="33"/>
  <c r="Q1339" i="33"/>
  <c r="Q921" i="33"/>
  <c r="Q925" i="33"/>
  <c r="S928" i="33"/>
  <c r="O932" i="33"/>
  <c r="O936" i="33"/>
  <c r="Q939" i="33"/>
  <c r="S942" i="33"/>
  <c r="S954" i="33"/>
  <c r="O958" i="33"/>
  <c r="Q961" i="33"/>
  <c r="Q965" i="33"/>
  <c r="S968" i="33"/>
  <c r="O972" i="33"/>
  <c r="O976" i="33"/>
  <c r="O980" i="33"/>
  <c r="S992" i="33"/>
  <c r="O998" i="33"/>
  <c r="S1002" i="33"/>
  <c r="S1006" i="33"/>
  <c r="O1012" i="33"/>
  <c r="S1016" i="33"/>
  <c r="N1029" i="33"/>
  <c r="P1034" i="33"/>
  <c r="P1038" i="33"/>
  <c r="N1043" i="33"/>
  <c r="P1048" i="33"/>
  <c r="N1053" i="33"/>
  <c r="N1057" i="33"/>
  <c r="P1062" i="33"/>
  <c r="O1075" i="33"/>
  <c r="S1079" i="33"/>
  <c r="O1085" i="33"/>
  <c r="O1089" i="33"/>
  <c r="S1093" i="33"/>
  <c r="O1099" i="33"/>
  <c r="S1103" i="33"/>
  <c r="S1107" i="33"/>
  <c r="R1121" i="33"/>
  <c r="N1128" i="33"/>
  <c r="O1134" i="33"/>
  <c r="P1141" i="33"/>
  <c r="R1146" i="33"/>
  <c r="S1152" i="33"/>
  <c r="P1168" i="33"/>
  <c r="Q1177" i="33"/>
  <c r="Q1185" i="33"/>
  <c r="O1211" i="33"/>
  <c r="N1249" i="33"/>
  <c r="O1287" i="33"/>
  <c r="S1384" i="33"/>
  <c r="R1011" i="33"/>
  <c r="P1018" i="33"/>
  <c r="O1033" i="33"/>
  <c r="Q1038" i="33"/>
  <c r="O1045" i="33"/>
  <c r="S1051" i="33"/>
  <c r="Q1058" i="33"/>
  <c r="S1063" i="33"/>
  <c r="R1078" i="33"/>
  <c r="P1085" i="33"/>
  <c r="P1091" i="33"/>
  <c r="R1098" i="33"/>
  <c r="N1104" i="33"/>
  <c r="N1110" i="33"/>
  <c r="P1127" i="33"/>
  <c r="P1135" i="33"/>
  <c r="P1142" i="33"/>
  <c r="S1154" i="33"/>
  <c r="Q1176" i="33"/>
  <c r="Q1192" i="33"/>
  <c r="P1253" i="33"/>
  <c r="S1312" i="33"/>
  <c r="O1121" i="33"/>
  <c r="Q1130" i="33"/>
  <c r="Q1138" i="33"/>
  <c r="S1145" i="33"/>
  <c r="S1155" i="33"/>
  <c r="P1171" i="33"/>
  <c r="N1180" i="33"/>
  <c r="R1188" i="33"/>
  <c r="S1208" i="33"/>
  <c r="N1231" i="33"/>
  <c r="P1263" i="33"/>
  <c r="S1302" i="33"/>
  <c r="P1345" i="33"/>
  <c r="O1231" i="33"/>
  <c r="P1291" i="33"/>
  <c r="P1396" i="33"/>
  <c r="P1208" i="33"/>
  <c r="Q1250" i="33"/>
  <c r="P1303" i="33"/>
  <c r="O1291" i="33"/>
  <c r="O1519" i="33"/>
  <c r="S1387" i="33"/>
  <c r="S1421" i="33"/>
  <c r="O1459" i="33"/>
  <c r="P1316" i="33"/>
  <c r="N1331" i="33"/>
  <c r="O1258" i="33"/>
  <c r="N1222" i="33"/>
  <c r="P1351" i="33"/>
  <c r="O1302" i="33"/>
  <c r="Q1284" i="33"/>
  <c r="O1261" i="33"/>
  <c r="R1248" i="33"/>
  <c r="S1227" i="33"/>
  <c r="Q1214" i="33"/>
  <c r="R1195" i="33"/>
  <c r="R1185" i="33"/>
  <c r="R1175" i="33"/>
  <c r="R1440" i="33"/>
  <c r="R1350" i="33"/>
  <c r="Q1315" i="33"/>
  <c r="O1297" i="33"/>
  <c r="O1281" i="33"/>
  <c r="P1258" i="33"/>
  <c r="R1246" i="33"/>
  <c r="N1225" i="33"/>
  <c r="R1211" i="33"/>
  <c r="N1400" i="33"/>
  <c r="Q1343" i="33"/>
  <c r="Q1327" i="33"/>
  <c r="Q1307" i="33"/>
  <c r="N1298" i="33"/>
  <c r="R1288" i="33"/>
  <c r="R1269" i="33"/>
  <c r="Q1262" i="33"/>
  <c r="P1255" i="33"/>
  <c r="P1248" i="33"/>
  <c r="O1241" i="33"/>
  <c r="Q1226" i="33"/>
  <c r="Q1219" i="33"/>
  <c r="P1212" i="33"/>
  <c r="Q1205" i="33"/>
  <c r="R1192" i="33"/>
  <c r="P1189" i="33"/>
  <c r="R1186" i="33"/>
  <c r="N1184" i="33"/>
  <c r="P1181" i="33"/>
  <c r="R1178" i="33"/>
  <c r="N1176" i="33"/>
  <c r="P1173" i="33"/>
  <c r="R1170" i="33"/>
  <c r="N1168" i="33"/>
  <c r="S1157" i="33"/>
  <c r="O1155" i="33"/>
  <c r="Q1152" i="33"/>
  <c r="S1149" i="33"/>
  <c r="O1147" i="33"/>
  <c r="Q1144" i="33"/>
  <c r="S1141" i="33"/>
  <c r="O1139" i="33"/>
  <c r="Q1136" i="33"/>
  <c r="S1133" i="33"/>
  <c r="O1131" i="33"/>
  <c r="Q1128" i="33"/>
  <c r="S1125" i="33"/>
  <c r="O1123" i="33"/>
  <c r="Q1120" i="33"/>
  <c r="S1427" i="33"/>
  <c r="O1345" i="33"/>
  <c r="P1307" i="33"/>
  <c r="O1288" i="33"/>
  <c r="Q1260" i="33"/>
  <c r="P1246" i="33"/>
  <c r="S1222" i="33"/>
  <c r="Q1208" i="33"/>
  <c r="S1193" i="33"/>
  <c r="Q1188" i="33"/>
  <c r="O1183" i="33"/>
  <c r="S1177" i="33"/>
  <c r="Q1172" i="33"/>
  <c r="R1167" i="33"/>
  <c r="R1155" i="33"/>
  <c r="O1152" i="33"/>
  <c r="R1148" i="33"/>
  <c r="N1145" i="33"/>
  <c r="S1445" i="33"/>
  <c r="Q1423" i="33"/>
  <c r="N1511" i="33"/>
  <c r="P1292" i="33"/>
  <c r="P1282" i="33"/>
  <c r="P1225" i="33"/>
  <c r="R1312" i="33"/>
  <c r="R1292" i="33"/>
  <c r="N1263" i="33"/>
  <c r="P1244" i="33"/>
  <c r="R1221" i="33"/>
  <c r="Q1204" i="33"/>
  <c r="P1182" i="33"/>
  <c r="R1171" i="33"/>
  <c r="S1355" i="33"/>
  <c r="R1306" i="33"/>
  <c r="S1287" i="33"/>
  <c r="N1261" i="33"/>
  <c r="P1241" i="33"/>
  <c r="S1218" i="33"/>
  <c r="P1405" i="33"/>
  <c r="O1336" i="33"/>
  <c r="P1313" i="33"/>
  <c r="P1299" i="33"/>
  <c r="O1285" i="33"/>
  <c r="N1266" i="33"/>
  <c r="P1256" i="33"/>
  <c r="R1245" i="33"/>
  <c r="O1230" i="33"/>
  <c r="P1220" i="33"/>
  <c r="R1209" i="33"/>
  <c r="R1194" i="33"/>
  <c r="N1190" i="33"/>
  <c r="N1186" i="33"/>
  <c r="R1182" i="33"/>
  <c r="P1179" i="33"/>
  <c r="P1175" i="33"/>
  <c r="N1172" i="33"/>
  <c r="R1168" i="33"/>
  <c r="O1157" i="33"/>
  <c r="S1153" i="33"/>
  <c r="Q1150" i="33"/>
  <c r="Q1146" i="33"/>
  <c r="O1143" i="33"/>
  <c r="S1139" i="33"/>
  <c r="S1135" i="33"/>
  <c r="Q1132" i="33"/>
  <c r="O1129" i="33"/>
  <c r="O1125" i="33"/>
  <c r="S1121" i="33"/>
  <c r="P1110" i="33"/>
  <c r="Q1337" i="33"/>
  <c r="S1297" i="33"/>
  <c r="N1264" i="33"/>
  <c r="R1242" i="33"/>
  <c r="R1215" i="33"/>
  <c r="O1195" i="33"/>
  <c r="O1187" i="33"/>
  <c r="Q1180" i="33"/>
  <c r="S1173" i="33"/>
  <c r="S1166" i="33"/>
  <c r="N1154" i="33"/>
  <c r="Q1149" i="33"/>
  <c r="O1144" i="33"/>
  <c r="R1140" i="33"/>
  <c r="N1137" i="33"/>
  <c r="Q1133" i="33"/>
  <c r="N1130" i="33"/>
  <c r="P1126" i="33"/>
  <c r="S1122" i="33"/>
  <c r="S1111" i="33"/>
  <c r="R1108" i="33"/>
  <c r="N1106" i="33"/>
  <c r="P1103" i="33"/>
  <c r="R1100" i="33"/>
  <c r="N1098" i="33"/>
  <c r="P1095" i="33"/>
  <c r="R1092" i="33"/>
  <c r="N1090" i="33"/>
  <c r="P1087" i="33"/>
  <c r="R1084" i="33"/>
  <c r="N1082" i="33"/>
  <c r="P1079" i="33"/>
  <c r="R1076" i="33"/>
  <c r="S1065" i="33"/>
  <c r="O1063" i="33"/>
  <c r="Q1060" i="33"/>
  <c r="S1057" i="33"/>
  <c r="O1055" i="33"/>
  <c r="Q1052" i="33"/>
  <c r="S1049" i="33"/>
  <c r="O1047" i="33"/>
  <c r="Q1044" i="33"/>
  <c r="S1041" i="33"/>
  <c r="O1039" i="33"/>
  <c r="Q1036" i="33"/>
  <c r="S1033" i="33"/>
  <c r="O1031" i="33"/>
  <c r="P1020" i="33"/>
  <c r="R1017" i="33"/>
  <c r="N1015" i="33"/>
  <c r="P1012" i="33"/>
  <c r="R1009" i="33"/>
  <c r="O1421" i="33"/>
  <c r="S1342" i="33"/>
  <c r="P1311" i="33"/>
  <c r="S1291" i="33"/>
  <c r="R1266" i="33"/>
  <c r="Q1252" i="33"/>
  <c r="Q1232" i="33"/>
  <c r="P1218" i="33"/>
  <c r="N1206" i="33"/>
  <c r="O1192" i="33"/>
  <c r="S1186" i="33"/>
  <c r="Q1181" i="33"/>
  <c r="O1176" i="33"/>
  <c r="S1170" i="33"/>
  <c r="Q1166" i="33"/>
  <c r="R1154" i="33"/>
  <c r="N1151" i="33"/>
  <c r="Q1147" i="33"/>
  <c r="N1144" i="33"/>
  <c r="P1140" i="33"/>
  <c r="S1136" i="33"/>
  <c r="P1133" i="33"/>
  <c r="R1129" i="33"/>
  <c r="O1126" i="33"/>
  <c r="R1122" i="33"/>
  <c r="Q1111" i="33"/>
  <c r="Q1108" i="33"/>
  <c r="S1105" i="33"/>
  <c r="O1103" i="33"/>
  <c r="Q1100" i="33"/>
  <c r="S1097" i="33"/>
  <c r="O1095" i="33"/>
  <c r="Q1092" i="33"/>
  <c r="S1089" i="33"/>
  <c r="O1087" i="33"/>
  <c r="Q1084" i="33"/>
  <c r="S1081" i="33"/>
  <c r="O1079" i="33"/>
  <c r="Q1076" i="33"/>
  <c r="R1065" i="33"/>
  <c r="N1063" i="33"/>
  <c r="P1060" i="33"/>
  <c r="R1057" i="33"/>
  <c r="N1055" i="33"/>
  <c r="P1052" i="33"/>
  <c r="R1049" i="33"/>
  <c r="N1047" i="33"/>
  <c r="P1044" i="33"/>
  <c r="R1041" i="33"/>
  <c r="N1039" i="33"/>
  <c r="P1036" i="33"/>
  <c r="R1033" i="33"/>
  <c r="N1031" i="33"/>
  <c r="S1020" i="33"/>
  <c r="O1018" i="33"/>
  <c r="Q1015" i="33"/>
  <c r="S1012" i="33"/>
  <c r="O1010" i="33"/>
  <c r="Q1007" i="33"/>
  <c r="S1004" i="33"/>
  <c r="O1002" i="33"/>
  <c r="Q999" i="33"/>
  <c r="S996" i="33"/>
  <c r="O994" i="33"/>
  <c r="Q991" i="33"/>
  <c r="S980" i="33"/>
  <c r="O978" i="33"/>
  <c r="P1423" i="33"/>
  <c r="R1346" i="33"/>
  <c r="N1285" i="33"/>
  <c r="Q1247" i="33"/>
  <c r="O1374" i="33"/>
  <c r="S1286" i="33"/>
  <c r="N1255" i="33"/>
  <c r="Q1222" i="33"/>
  <c r="R1191" i="33"/>
  <c r="R1177" i="33"/>
  <c r="O1382" i="33"/>
  <c r="Q1305" i="33"/>
  <c r="P1266" i="33"/>
  <c r="R1247" i="33"/>
  <c r="P1214" i="33"/>
  <c r="S1354" i="33"/>
  <c r="P1315" i="33"/>
  <c r="Q1294" i="33"/>
  <c r="Q1270" i="33"/>
  <c r="N1259" i="33"/>
  <c r="R1244" i="33"/>
  <c r="S1223" i="33"/>
  <c r="O1213" i="33"/>
  <c r="N1194" i="33"/>
  <c r="N1188" i="33"/>
  <c r="P1183" i="33"/>
  <c r="N1178" i="33"/>
  <c r="N1174" i="33"/>
  <c r="P1169" i="33"/>
  <c r="Q1156" i="33"/>
  <c r="S1151" i="33"/>
  <c r="S1147" i="33"/>
  <c r="Q1142" i="33"/>
  <c r="S1137" i="33"/>
  <c r="O1133" i="33"/>
  <c r="S1127" i="33"/>
  <c r="S1123" i="33"/>
  <c r="N1111" i="33"/>
  <c r="P1330" i="33"/>
  <c r="Q1283" i="33"/>
  <c r="S1249" i="33"/>
  <c r="O1212" i="33"/>
  <c r="O1191" i="33"/>
  <c r="S1181" i="33"/>
  <c r="O1171" i="33"/>
  <c r="R1156" i="33"/>
  <c r="P1150" i="33"/>
  <c r="P1143" i="33"/>
  <c r="S1138" i="33"/>
  <c r="P1134" i="33"/>
  <c r="N1129" i="33"/>
  <c r="R1124" i="33"/>
  <c r="O1120" i="33"/>
  <c r="N1108" i="33"/>
  <c r="R1104" i="33"/>
  <c r="P1101" i="33"/>
  <c r="P1097" i="33"/>
  <c r="N1094" i="33"/>
  <c r="R1090" i="33"/>
  <c r="R1086" i="33"/>
  <c r="P1083" i="33"/>
  <c r="N1080" i="33"/>
  <c r="N1076" i="33"/>
  <c r="Q1064" i="33"/>
  <c r="O1061" i="33"/>
  <c r="O1057" i="33"/>
  <c r="S1053" i="33"/>
  <c r="Q1050" i="33"/>
  <c r="Q1046" i="33"/>
  <c r="O1043" i="33"/>
  <c r="S1039" i="33"/>
  <c r="S1035" i="33"/>
  <c r="Q1032" i="33"/>
  <c r="O1029" i="33"/>
  <c r="N1017" i="33"/>
  <c r="R1013" i="33"/>
  <c r="P1010" i="33"/>
  <c r="Q1403" i="33"/>
  <c r="S1328" i="33"/>
  <c r="R1296" i="33"/>
  <c r="O1263" i="33"/>
  <c r="P1245" i="33"/>
  <c r="S1221" i="33"/>
  <c r="R1204" i="33"/>
  <c r="Q1189" i="33"/>
  <c r="O1469" i="33"/>
  <c r="P1467" i="33"/>
  <c r="O1376" i="33"/>
  <c r="O1262" i="33"/>
  <c r="R1310" i="33"/>
  <c r="P1268" i="33"/>
  <c r="S1228" i="33"/>
  <c r="P1190" i="33"/>
  <c r="O1463" i="33"/>
  <c r="R1327" i="33"/>
  <c r="P1265" i="33"/>
  <c r="S1225" i="33"/>
  <c r="S1376" i="33"/>
  <c r="R1308" i="33"/>
  <c r="S1289" i="33"/>
  <c r="S1259" i="33"/>
  <c r="N1242" i="33"/>
  <c r="S1216" i="33"/>
  <c r="P1195" i="33"/>
  <c r="P1187" i="33"/>
  <c r="R1180" i="33"/>
  <c r="R1174" i="33"/>
  <c r="P1167" i="33"/>
  <c r="Q1154" i="33"/>
  <c r="Q1148" i="33"/>
  <c r="O1141" i="33"/>
  <c r="O1135" i="33"/>
  <c r="S1129" i="33"/>
  <c r="Q1122" i="33"/>
  <c r="P1389" i="33"/>
  <c r="O1293" i="33"/>
  <c r="S1229" i="33"/>
  <c r="N1205" i="33"/>
  <c r="Q1184" i="33"/>
  <c r="S1169" i="33"/>
  <c r="N1153" i="33"/>
  <c r="N1146" i="33"/>
  <c r="N1138" i="33"/>
  <c r="R1131" i="33"/>
  <c r="Q1125" i="33"/>
  <c r="S1110" i="33"/>
  <c r="R1106" i="33"/>
  <c r="N1102" i="33"/>
  <c r="R1096" i="33"/>
  <c r="N1092" i="33"/>
  <c r="N1088" i="33"/>
  <c r="R1082" i="33"/>
  <c r="N1078" i="33"/>
  <c r="O1065" i="33"/>
  <c r="S1059" i="33"/>
  <c r="S1055" i="33"/>
  <c r="O1051" i="33"/>
  <c r="S1045" i="33"/>
  <c r="O1041" i="33"/>
  <c r="O1037" i="33"/>
  <c r="S1031" i="33"/>
  <c r="N1019" i="33"/>
  <c r="P1014" i="33"/>
  <c r="N1009" i="33"/>
  <c r="O1352" i="33"/>
  <c r="P1301" i="33"/>
  <c r="R1259" i="33"/>
  <c r="N1229" i="33"/>
  <c r="R1207" i="33"/>
  <c r="O1188" i="33"/>
  <c r="O1180" i="33"/>
  <c r="Q1173" i="33"/>
  <c r="Q1167" i="33"/>
  <c r="R1153" i="33"/>
  <c r="P1149" i="33"/>
  <c r="S1144" i="33"/>
  <c r="Q1139" i="33"/>
  <c r="N1135" i="33"/>
  <c r="R1130" i="33"/>
  <c r="P1125" i="33"/>
  <c r="S1120" i="33"/>
  <c r="O1109" i="33"/>
  <c r="O1105" i="33"/>
  <c r="S1101" i="33"/>
  <c r="Q1098" i="33"/>
  <c r="Q1094" i="33"/>
  <c r="O1091" i="33"/>
  <c r="S1087" i="33"/>
  <c r="S1083" i="33"/>
  <c r="Q1080" i="33"/>
  <c r="O1077" i="33"/>
  <c r="N1065" i="33"/>
  <c r="R1061" i="33"/>
  <c r="P1058" i="33"/>
  <c r="P1054" i="33"/>
  <c r="N1051" i="33"/>
  <c r="R1047" i="33"/>
  <c r="R1043" i="33"/>
  <c r="P1040" i="33"/>
  <c r="N1037" i="33"/>
  <c r="N1033" i="33"/>
  <c r="R1029" i="33"/>
  <c r="S1018" i="33"/>
  <c r="S1014" i="33"/>
  <c r="Q1011" i="33"/>
  <c r="O1008" i="33"/>
  <c r="O1004" i="33"/>
  <c r="S1000" i="33"/>
  <c r="Q997" i="33"/>
  <c r="Q993" i="33"/>
  <c r="O982" i="33"/>
  <c r="S978" i="33"/>
  <c r="Q975" i="33"/>
  <c r="S972" i="33"/>
  <c r="O970" i="33"/>
  <c r="Q967" i="33"/>
  <c r="S964" i="33"/>
  <c r="O962" i="33"/>
  <c r="Q959" i="33"/>
  <c r="S956" i="33"/>
  <c r="O954" i="33"/>
  <c r="Q943" i="33"/>
  <c r="S940" i="33"/>
  <c r="O938" i="33"/>
  <c r="Q935" i="33"/>
  <c r="S932" i="33"/>
  <c r="O930" i="33"/>
  <c r="Q927" i="33"/>
  <c r="S924" i="33"/>
  <c r="O922" i="33"/>
  <c r="N1375" i="33"/>
  <c r="O1300" i="33"/>
  <c r="P1261" i="33"/>
  <c r="N1221" i="33"/>
  <c r="S1195" i="33"/>
  <c r="O1185" i="33"/>
  <c r="Q1174" i="33"/>
  <c r="S1156" i="33"/>
  <c r="R1149" i="33"/>
  <c r="R1142" i="33"/>
  <c r="Q1135" i="33"/>
  <c r="P1128" i="33"/>
  <c r="P1121" i="33"/>
  <c r="O1106" i="33"/>
  <c r="S1100" i="33"/>
  <c r="Q1095" i="33"/>
  <c r="O1090" i="33"/>
  <c r="S1084" i="33"/>
  <c r="Q1079" i="33"/>
  <c r="N1066" i="33"/>
  <c r="R1060" i="33"/>
  <c r="P1055" i="33"/>
  <c r="N1050" i="33"/>
  <c r="R1044" i="33"/>
  <c r="P1039" i="33"/>
  <c r="N1034" i="33"/>
  <c r="N1020" i="33"/>
  <c r="R1014" i="33"/>
  <c r="N1446" i="33"/>
  <c r="Q1308" i="33"/>
  <c r="R1258" i="33"/>
  <c r="O1220" i="33"/>
  <c r="Q1195" i="33"/>
  <c r="S1184" i="33"/>
  <c r="O1174" i="33"/>
  <c r="O1156" i="33"/>
  <c r="N1149" i="33"/>
  <c r="N1142" i="33"/>
  <c r="S1134" i="33"/>
  <c r="R1127" i="33"/>
  <c r="R1120" i="33"/>
  <c r="N1107" i="33"/>
  <c r="R1101" i="33"/>
  <c r="P1096" i="33"/>
  <c r="N1091" i="33"/>
  <c r="R1085" i="33"/>
  <c r="P1334" i="33"/>
  <c r="Q1220" i="33"/>
  <c r="N1282" i="33"/>
  <c r="O1340" i="33"/>
  <c r="P1186" i="33"/>
  <c r="R1241" i="33"/>
  <c r="O1296" i="33"/>
  <c r="O1244" i="33"/>
  <c r="Q1389" i="33"/>
  <c r="O1493" i="33"/>
  <c r="Q1495" i="33"/>
  <c r="N1470" i="33"/>
  <c r="N1351" i="33"/>
  <c r="R1375" i="33"/>
  <c r="N1379" i="33"/>
  <c r="Q1318" i="33"/>
  <c r="S1402" i="33"/>
  <c r="O1343" i="33"/>
  <c r="N1299" i="33"/>
  <c r="Q1379" i="33"/>
  <c r="S1300" i="33"/>
  <c r="Q1265" i="33"/>
  <c r="Q1251" i="33"/>
  <c r="R1228" i="33"/>
  <c r="R1214" i="33"/>
  <c r="R1402" i="33"/>
  <c r="O1330" i="33"/>
  <c r="S1305" i="33"/>
  <c r="Q1297" i="33"/>
  <c r="O1289" i="33"/>
  <c r="N1270" i="33"/>
  <c r="R1264" i="33"/>
  <c r="Q1258" i="33"/>
  <c r="P1251" i="33"/>
  <c r="O1245" i="33"/>
  <c r="Q1231" i="33"/>
  <c r="P1224" i="33"/>
  <c r="O1218" i="33"/>
  <c r="S1211" i="33"/>
  <c r="O1205" i="33"/>
  <c r="N1193" i="33"/>
  <c r="P1188" i="33"/>
  <c r="N1183" i="33"/>
  <c r="P1178" i="33"/>
  <c r="P1174" i="33"/>
  <c r="N1169" i="33"/>
  <c r="R1401" i="33"/>
  <c r="P1361" i="33"/>
  <c r="O1342" i="33"/>
  <c r="Q1331" i="33"/>
  <c r="O1310" i="33"/>
  <c r="R1300" i="33"/>
  <c r="Q1292" i="33"/>
  <c r="P1285" i="33"/>
  <c r="N1268" i="33"/>
  <c r="S1261" i="33"/>
  <c r="R1255" i="33"/>
  <c r="Q1248" i="33"/>
  <c r="O1243" i="33"/>
  <c r="Q1228" i="33"/>
  <c r="Q1221" i="33"/>
  <c r="O1215" i="33"/>
  <c r="S1209" i="33"/>
  <c r="Q1430" i="33"/>
  <c r="P1381" i="33"/>
  <c r="S1347" i="33"/>
  <c r="O1338" i="33"/>
  <c r="S1330" i="33"/>
  <c r="S1316" i="33"/>
  <c r="N1310" i="33"/>
  <c r="O1305" i="33"/>
  <c r="Q1300" i="33"/>
  <c r="S1295" i="33"/>
  <c r="S1290" i="33"/>
  <c r="O1286" i="33"/>
  <c r="S1281" i="33"/>
  <c r="S1267" i="33"/>
  <c r="P1264" i="33"/>
  <c r="R1260" i="33"/>
  <c r="O1257" i="33"/>
  <c r="R1253" i="33"/>
  <c r="N1250" i="33"/>
  <c r="Q1246" i="33"/>
  <c r="N1243" i="33"/>
  <c r="S1231" i="33"/>
  <c r="P1228" i="33"/>
  <c r="S1224" i="33"/>
  <c r="O1221" i="33"/>
  <c r="R1217" i="33"/>
  <c r="O1214" i="33"/>
  <c r="Q1210" i="33"/>
  <c r="N1207" i="33"/>
  <c r="O1204" i="33"/>
  <c r="P1193" i="33"/>
  <c r="R1190" i="33"/>
  <c r="N1473" i="33"/>
  <c r="S1498" i="33"/>
  <c r="S1373" i="33"/>
  <c r="P1394" i="33"/>
  <c r="P1393" i="33"/>
  <c r="N1336" i="33"/>
  <c r="Q1425" i="33"/>
  <c r="O1356" i="33"/>
  <c r="N1307" i="33"/>
  <c r="S1423" i="33"/>
  <c r="S1310" i="33"/>
  <c r="S1268" i="33"/>
  <c r="S1254" i="33"/>
  <c r="R1232" i="33"/>
  <c r="N1218" i="33"/>
  <c r="O1444" i="33"/>
  <c r="S1340" i="33"/>
  <c r="O1308" i="33"/>
  <c r="R1298" i="33"/>
  <c r="Q1291" i="33"/>
  <c r="P1283" i="33"/>
  <c r="R1265" i="33"/>
  <c r="P1259" i="33"/>
  <c r="N1254" i="33"/>
  <c r="N1247" i="33"/>
  <c r="P1232" i="33"/>
  <c r="O1226" i="33"/>
  <c r="N1219" i="33"/>
  <c r="R1213" i="33"/>
  <c r="Q1207" i="33"/>
  <c r="R1193" i="33"/>
  <c r="N1189" i="33"/>
  <c r="N1185" i="33"/>
  <c r="R1179" i="33"/>
  <c r="N1175" i="33"/>
  <c r="P1170" i="33"/>
  <c r="O1406" i="33"/>
  <c r="R1377" i="33"/>
  <c r="R1348" i="33"/>
  <c r="N1333" i="33"/>
  <c r="N1312" i="33"/>
  <c r="O1304" i="33"/>
  <c r="S1294" i="33"/>
  <c r="Q1286" i="33"/>
  <c r="S1269" i="33"/>
  <c r="R1262" i="33"/>
  <c r="P1257" i="33"/>
  <c r="O1251" i="33"/>
  <c r="N1244" i="33"/>
  <c r="Q1229" i="33"/>
  <c r="O1224" i="33"/>
  <c r="N1217" i="33"/>
  <c r="S1210" i="33"/>
  <c r="R1447" i="33"/>
  <c r="R1385" i="33"/>
  <c r="Q1352" i="33"/>
  <c r="R1339" i="33"/>
  <c r="S1332" i="33"/>
  <c r="R1318" i="33"/>
  <c r="Q1311" i="33"/>
  <c r="Q1306" i="33"/>
  <c r="Q1301" i="33"/>
  <c r="S1296" i="33"/>
  <c r="O1292" i="33"/>
  <c r="P1287" i="33"/>
  <c r="R1282" i="33"/>
  <c r="R1268" i="33"/>
  <c r="O1265" i="33"/>
  <c r="R1261" i="33"/>
  <c r="N1258" i="33"/>
  <c r="Q1254" i="33"/>
  <c r="N1251" i="33"/>
  <c r="P1247" i="33"/>
  <c r="S1243" i="33"/>
  <c r="S1232" i="33"/>
  <c r="O1229" i="33"/>
  <c r="R1225" i="33"/>
  <c r="O1222" i="33"/>
  <c r="Q1218" i="33"/>
  <c r="N1215" i="33"/>
  <c r="Q1211" i="33"/>
  <c r="S1207" i="33"/>
  <c r="S1204" i="33"/>
  <c r="R1286" i="33"/>
  <c r="P1305" i="33"/>
  <c r="N1339" i="33"/>
  <c r="P1397" i="33"/>
  <c r="P1288" i="33"/>
  <c r="N1303" i="33"/>
  <c r="O1329" i="33"/>
  <c r="O1349" i="33"/>
  <c r="P1383" i="33"/>
  <c r="O1408" i="33"/>
  <c r="P1473" i="33"/>
  <c r="N1332" i="33"/>
  <c r="S1352" i="33"/>
  <c r="P1385" i="33"/>
  <c r="N1438" i="33"/>
  <c r="Q1385" i="33"/>
  <c r="P1438" i="33"/>
  <c r="P1358" i="33"/>
  <c r="Q1406" i="33"/>
  <c r="O1502" i="33"/>
  <c r="S1484" i="33"/>
  <c r="P1460" i="33"/>
  <c r="N1510" i="33"/>
  <c r="Q1296" i="33"/>
  <c r="Q1317" i="33"/>
  <c r="O1355" i="33"/>
  <c r="S1479" i="33"/>
  <c r="R1295" i="33"/>
  <c r="N1311" i="33"/>
  <c r="O1339" i="33"/>
  <c r="Q1362" i="33"/>
  <c r="R1395" i="33"/>
  <c r="Q1437" i="33"/>
  <c r="S1313" i="33"/>
  <c r="R1340" i="33"/>
  <c r="S1372" i="33"/>
  <c r="N1403" i="33"/>
  <c r="R1513" i="33"/>
  <c r="O1404" i="33"/>
  <c r="P1344" i="33"/>
  <c r="Q1380" i="33"/>
  <c r="R1433" i="33"/>
  <c r="S1436" i="33"/>
  <c r="Q1469" i="33"/>
  <c r="T3" i="33"/>
  <c r="T9" i="33" s="1"/>
  <c r="I53" i="33" s="1"/>
  <c r="P1521" i="33"/>
  <c r="R1518" i="33"/>
  <c r="N1516" i="33"/>
  <c r="P1513" i="33"/>
  <c r="R1510" i="33"/>
  <c r="N1508" i="33"/>
  <c r="P1505" i="33"/>
  <c r="R1502" i="33"/>
  <c r="Q1520" i="33"/>
  <c r="S1517" i="33"/>
  <c r="O1515" i="33"/>
  <c r="Q1512" i="33"/>
  <c r="S1509" i="33"/>
  <c r="O1507" i="33"/>
  <c r="Q1504" i="33"/>
  <c r="S1501" i="33"/>
  <c r="O1499" i="33"/>
  <c r="Q1496" i="33"/>
  <c r="S1493" i="33"/>
  <c r="N1483" i="33"/>
  <c r="P1480" i="33"/>
  <c r="R1477" i="33"/>
  <c r="N1475" i="33"/>
  <c r="P1472" i="33"/>
  <c r="R1469" i="33"/>
  <c r="N1467" i="33"/>
  <c r="P1464" i="33"/>
  <c r="R1461" i="33"/>
  <c r="N1459" i="33"/>
  <c r="Q1519" i="33"/>
  <c r="O1514" i="33"/>
  <c r="S1522" i="33"/>
  <c r="Q1517" i="33"/>
  <c r="O1512" i="33"/>
  <c r="S1506" i="33"/>
  <c r="R1501" i="33"/>
  <c r="O1498" i="33"/>
  <c r="R1494" i="33"/>
  <c r="S1482" i="33"/>
  <c r="P1479" i="33"/>
  <c r="S1475" i="33"/>
  <c r="O1472" i="33"/>
  <c r="R1468" i="33"/>
  <c r="O1465" i="33"/>
  <c r="Q1461" i="33"/>
  <c r="N1458" i="33"/>
  <c r="S1447" i="33"/>
  <c r="O1445" i="33"/>
  <c r="Q1442" i="33"/>
  <c r="S1439" i="33"/>
  <c r="O1437" i="33"/>
  <c r="Q1434" i="33"/>
  <c r="N1521" i="33"/>
  <c r="P1510" i="33"/>
  <c r="N1503" i="33"/>
  <c r="N1498" i="33"/>
  <c r="P1493" i="33"/>
  <c r="P1481" i="33"/>
  <c r="Q1476" i="33"/>
  <c r="S1471" i="33"/>
  <c r="O1467" i="33"/>
  <c r="O1462" i="33"/>
  <c r="R1457" i="33"/>
  <c r="R1445" i="33"/>
  <c r="O1442" i="33"/>
  <c r="R1438" i="33"/>
  <c r="N1435" i="33"/>
  <c r="R1431" i="33"/>
  <c r="N1429" i="33"/>
  <c r="P1426" i="33"/>
  <c r="R1423" i="33"/>
  <c r="N1421" i="33"/>
  <c r="P1418" i="33"/>
  <c r="N1515" i="33"/>
  <c r="O1506" i="33"/>
  <c r="O1500" i="33"/>
  <c r="P1495" i="33"/>
  <c r="P1483" i="33"/>
  <c r="P1514" i="33"/>
  <c r="R1505" i="33"/>
  <c r="R1499" i="33"/>
  <c r="N1495" i="33"/>
  <c r="S1481" i="33"/>
  <c r="O1477" i="33"/>
  <c r="Q1472" i="33"/>
  <c r="N1522" i="33"/>
  <c r="N1518" i="33"/>
  <c r="R1514" i="33"/>
  <c r="P1511" i="33"/>
  <c r="P1507" i="33"/>
  <c r="N1504" i="33"/>
  <c r="O1521" i="33"/>
  <c r="O1517" i="33"/>
  <c r="S1513" i="33"/>
  <c r="Q1510" i="33"/>
  <c r="Q1506" i="33"/>
  <c r="O1503" i="33"/>
  <c r="S1499" i="33"/>
  <c r="S1495" i="33"/>
  <c r="P1484" i="33"/>
  <c r="N1481" i="33"/>
  <c r="N1477" i="33"/>
  <c r="R1473" i="33"/>
  <c r="P1470" i="33"/>
  <c r="P1466" i="33"/>
  <c r="N1463" i="33"/>
  <c r="R1459" i="33"/>
  <c r="O1518" i="33"/>
  <c r="Q1511" i="33"/>
  <c r="S1518" i="33"/>
  <c r="S1510" i="33"/>
  <c r="O1504" i="33"/>
  <c r="N1499" i="33"/>
  <c r="R1493" i="33"/>
  <c r="O1481" i="33"/>
  <c r="R1476" i="33"/>
  <c r="P1471" i="33"/>
  <c r="S1466" i="33"/>
  <c r="Q1462" i="33"/>
  <c r="P1457" i="33"/>
  <c r="Q1446" i="33"/>
  <c r="O1443" i="33"/>
  <c r="O1439" i="33"/>
  <c r="S1435" i="33"/>
  <c r="Q1432" i="33"/>
  <c r="P1508" i="33"/>
  <c r="P1500" i="33"/>
  <c r="P1494" i="33"/>
  <c r="N1480" i="33"/>
  <c r="O1474" i="33"/>
  <c r="O1468" i="33"/>
  <c r="O1461" i="33"/>
  <c r="Q1447" i="33"/>
  <c r="N1443" i="33"/>
  <c r="R1437" i="33"/>
  <c r="P1433" i="33"/>
  <c r="R1429" i="33"/>
  <c r="R1425" i="33"/>
  <c r="P1422" i="33"/>
  <c r="N1419" i="33"/>
  <c r="P1512" i="33"/>
  <c r="P1502" i="33"/>
  <c r="R1496" i="33"/>
  <c r="P1522" i="33"/>
  <c r="N1509" i="33"/>
  <c r="N1501" i="33"/>
  <c r="N1494" i="33"/>
  <c r="Q1479" i="33"/>
  <c r="Q1473" i="33"/>
  <c r="Q1467" i="33"/>
  <c r="S1462" i="33"/>
  <c r="O1458" i="33"/>
  <c r="O1446" i="33"/>
  <c r="R1442" i="33"/>
  <c r="N1439" i="33"/>
  <c r="Q1435" i="33"/>
  <c r="N1432" i="33"/>
  <c r="P1429" i="33"/>
  <c r="R1426" i="33"/>
  <c r="N1424" i="33"/>
  <c r="P1421" i="33"/>
  <c r="R1418" i="33"/>
  <c r="Q1408" i="33"/>
  <c r="S1405" i="33"/>
  <c r="O1403" i="33"/>
  <c r="Q1400" i="33"/>
  <c r="S1397" i="33"/>
  <c r="O1395" i="33"/>
  <c r="Q1392" i="33"/>
  <c r="S1389" i="33"/>
  <c r="R1520" i="33"/>
  <c r="R1516" i="33"/>
  <c r="N1512" i="33"/>
  <c r="R1506" i="33"/>
  <c r="Q1522" i="33"/>
  <c r="Q1518" i="33"/>
  <c r="O1513" i="33"/>
  <c r="Q1508" i="33"/>
  <c r="S1503" i="33"/>
  <c r="Q1498" i="33"/>
  <c r="Q1494" i="33"/>
  <c r="R1481" i="33"/>
  <c r="P1476" i="33"/>
  <c r="R1471" i="33"/>
  <c r="R1467" i="33"/>
  <c r="P1462" i="33"/>
  <c r="O1522" i="33"/>
  <c r="S1512" i="33"/>
  <c r="O1516" i="33"/>
  <c r="O1508" i="33"/>
  <c r="N1500" i="33"/>
  <c r="R1484" i="33"/>
  <c r="Q1478" i="33"/>
  <c r="O1473" i="33"/>
  <c r="N1466" i="33"/>
  <c r="S1459" i="33"/>
  <c r="O1447" i="33"/>
  <c r="S1441" i="33"/>
  <c r="S1437" i="33"/>
  <c r="O1433" i="33"/>
  <c r="P1506" i="33"/>
  <c r="S1496" i="33"/>
  <c r="Q1482" i="33"/>
  <c r="S1472" i="33"/>
  <c r="R1464" i="33"/>
  <c r="S1456" i="33"/>
  <c r="P1441" i="33"/>
  <c r="N1436" i="33"/>
  <c r="P1430" i="33"/>
  <c r="N1425" i="33"/>
  <c r="P1420" i="33"/>
  <c r="R1517" i="33"/>
  <c r="P1501" i="33"/>
  <c r="N1493" i="33"/>
  <c r="R1511" i="33"/>
  <c r="R1498" i="33"/>
  <c r="O1483" i="33"/>
  <c r="R1474" i="33"/>
  <c r="Q1466" i="33"/>
  <c r="Q1460" i="33"/>
  <c r="N1447" i="33"/>
  <c r="R1441" i="33"/>
  <c r="P1437" i="33"/>
  <c r="S1432" i="33"/>
  <c r="R1428" i="33"/>
  <c r="P1425" i="33"/>
  <c r="N1422" i="33"/>
  <c r="N1418" i="33"/>
  <c r="O1407" i="33"/>
  <c r="S1403" i="33"/>
  <c r="S1399" i="33"/>
  <c r="Q1396" i="33"/>
  <c r="O1393" i="33"/>
  <c r="O1389" i="33"/>
  <c r="Q1386" i="33"/>
  <c r="S1383" i="33"/>
  <c r="O1381" i="33"/>
  <c r="Q1378" i="33"/>
  <c r="S1375" i="33"/>
  <c r="O1373" i="33"/>
  <c r="P1362" i="33"/>
  <c r="R1359" i="33"/>
  <c r="N1357" i="33"/>
  <c r="P1354" i="33"/>
  <c r="R1351" i="33"/>
  <c r="N1349" i="33"/>
  <c r="P1346" i="33"/>
  <c r="P1516" i="33"/>
  <c r="Q1481" i="33"/>
  <c r="N1472" i="33"/>
  <c r="R1462" i="33"/>
  <c r="P1447" i="33"/>
  <c r="O1440" i="33"/>
  <c r="N1433" i="33"/>
  <c r="Q1427" i="33"/>
  <c r="O1422" i="33"/>
  <c r="R1409" i="33"/>
  <c r="N1406" i="33"/>
  <c r="P1402" i="33"/>
  <c r="S1398" i="33"/>
  <c r="P1395" i="33"/>
  <c r="R1391" i="33"/>
  <c r="O1388" i="33"/>
  <c r="R1384" i="33"/>
  <c r="N1381" i="33"/>
  <c r="Q1377" i="33"/>
  <c r="N1374" i="33"/>
  <c r="S1362" i="33"/>
  <c r="P1359" i="33"/>
  <c r="S1494" i="33"/>
  <c r="O1476" i="33"/>
  <c r="R1466" i="33"/>
  <c r="Q1457" i="33"/>
  <c r="Q1441" i="33"/>
  <c r="P1434" i="33"/>
  <c r="Q1428" i="33"/>
  <c r="O1423" i="33"/>
  <c r="P1409" i="33"/>
  <c r="R1405" i="33"/>
  <c r="O1402" i="33"/>
  <c r="R1398" i="33"/>
  <c r="N1395" i="33"/>
  <c r="Q1391" i="33"/>
  <c r="N1388" i="33"/>
  <c r="P1384" i="33"/>
  <c r="S1380" i="33"/>
  <c r="P1377" i="33"/>
  <c r="R1373" i="33"/>
  <c r="R1362" i="33"/>
  <c r="O1359" i="33"/>
  <c r="Q1355" i="33"/>
  <c r="N1352" i="33"/>
  <c r="Q1348" i="33"/>
  <c r="S1344" i="33"/>
  <c r="N1342" i="33"/>
  <c r="P1339" i="33"/>
  <c r="R1336" i="33"/>
  <c r="N1334" i="33"/>
  <c r="P1331" i="33"/>
  <c r="R1328" i="33"/>
  <c r="S1317" i="33"/>
  <c r="O1315" i="33"/>
  <c r="Q1312" i="33"/>
  <c r="R1521" i="33"/>
  <c r="Q1493" i="33"/>
  <c r="Q1475" i="33"/>
  <c r="O1466" i="33"/>
  <c r="N1457" i="33"/>
  <c r="N1441" i="33"/>
  <c r="N1434" i="33"/>
  <c r="O1428" i="33"/>
  <c r="S1422" i="33"/>
  <c r="N1409" i="33"/>
  <c r="Q1405" i="33"/>
  <c r="N1402" i="33"/>
  <c r="P1398" i="33"/>
  <c r="S1394" i="33"/>
  <c r="P1391" i="33"/>
  <c r="R1387" i="33"/>
  <c r="O1384" i="33"/>
  <c r="R1380" i="33"/>
  <c r="N1377" i="33"/>
  <c r="Q1373" i="33"/>
  <c r="Q1361" i="33"/>
  <c r="N1358" i="33"/>
  <c r="Q1354" i="33"/>
  <c r="S1350" i="33"/>
  <c r="P1347" i="33"/>
  <c r="S1343" i="33"/>
  <c r="O1341" i="33"/>
  <c r="Q1338" i="33"/>
  <c r="S1335" i="33"/>
  <c r="O1333" i="33"/>
  <c r="Q1330" i="33"/>
  <c r="S1327" i="33"/>
  <c r="N1317" i="33"/>
  <c r="P1314" i="33"/>
  <c r="R1311" i="33"/>
  <c r="N1309" i="33"/>
  <c r="P1306" i="33"/>
  <c r="R1522" i="33"/>
  <c r="P1515" i="33"/>
  <c r="P1509" i="33"/>
  <c r="P1503" i="33"/>
  <c r="Q1516" i="33"/>
  <c r="O1511" i="33"/>
  <c r="O1505" i="33"/>
  <c r="S1497" i="33"/>
  <c r="R1483" i="33"/>
  <c r="P1478" i="33"/>
  <c r="N1471" i="33"/>
  <c r="N1465" i="33"/>
  <c r="P1458" i="33"/>
  <c r="O1510" i="33"/>
  <c r="Q1513" i="33"/>
  <c r="S1500" i="33"/>
  <c r="S1483" i="33"/>
  <c r="S1474" i="33"/>
  <c r="S1467" i="33"/>
  <c r="S1458" i="33"/>
  <c r="Q1444" i="33"/>
  <c r="Q1438" i="33"/>
  <c r="P1518" i="33"/>
  <c r="Q1501" i="33"/>
  <c r="Q1483" i="33"/>
  <c r="R1470" i="33"/>
  <c r="N1460" i="33"/>
  <c r="N1444" i="33"/>
  <c r="O1434" i="33"/>
  <c r="R1427" i="33"/>
  <c r="R1421" i="33"/>
  <c r="R1509" i="33"/>
  <c r="R1497" i="33"/>
  <c r="N1517" i="33"/>
  <c r="Q1497" i="33"/>
  <c r="O1478" i="33"/>
  <c r="S1468" i="33"/>
  <c r="P1459" i="33"/>
  <c r="P1444" i="33"/>
  <c r="O1438" i="33"/>
  <c r="P1431" i="33"/>
  <c r="P1427" i="33"/>
  <c r="R1422" i="33"/>
  <c r="S1409" i="33"/>
  <c r="O1405" i="33"/>
  <c r="O1401" i="33"/>
  <c r="S1395" i="33"/>
  <c r="O1391" i="33"/>
  <c r="O1387" i="33"/>
  <c r="O1383" i="33"/>
  <c r="S1379" i="33"/>
  <c r="Q1376" i="33"/>
  <c r="Q1372" i="33"/>
  <c r="N1361" i="33"/>
  <c r="R1357" i="33"/>
  <c r="R1353" i="33"/>
  <c r="P1350" i="33"/>
  <c r="N1347" i="33"/>
  <c r="N1507" i="33"/>
  <c r="S1476" i="33"/>
  <c r="S1464" i="33"/>
  <c r="Q1445" i="33"/>
  <c r="R1436" i="33"/>
  <c r="S1428" i="33"/>
  <c r="S1420" i="33"/>
  <c r="R1407" i="33"/>
  <c r="P1403" i="33"/>
  <c r="N1398" i="33"/>
  <c r="Q1393" i="33"/>
  <c r="N1389" i="33"/>
  <c r="R1383" i="33"/>
  <c r="P1379" i="33"/>
  <c r="S1374" i="33"/>
  <c r="N1362" i="33"/>
  <c r="N1505" i="33"/>
  <c r="R1478" i="33"/>
  <c r="Q1464" i="33"/>
  <c r="N1445" i="33"/>
  <c r="O1436" i="33"/>
  <c r="O1427" i="33"/>
  <c r="Q1420" i="33"/>
  <c r="R1406" i="33"/>
  <c r="P1401" i="33"/>
  <c r="S1396" i="33"/>
  <c r="P1392" i="33"/>
  <c r="N1520" i="33"/>
  <c r="N1514" i="33"/>
  <c r="R1508" i="33"/>
  <c r="S1521" i="33"/>
  <c r="S1515" i="33"/>
  <c r="O1509" i="33"/>
  <c r="Q1502" i="33"/>
  <c r="O1497" i="33"/>
  <c r="P1482" i="33"/>
  <c r="R1475" i="33"/>
  <c r="N1469" i="33"/>
  <c r="R1463" i="33"/>
  <c r="S1520" i="33"/>
  <c r="Q1521" i="33"/>
  <c r="Q1509" i="33"/>
  <c r="P1497" i="33"/>
  <c r="N1482" i="33"/>
  <c r="N1474" i="33"/>
  <c r="O1464" i="33"/>
  <c r="R1456" i="33"/>
  <c r="S1443" i="33"/>
  <c r="Q1436" i="33"/>
  <c r="R1515" i="33"/>
  <c r="P1499" i="33"/>
  <c r="S1478" i="33"/>
  <c r="P1469" i="33"/>
  <c r="R1458" i="33"/>
  <c r="P1440" i="33"/>
  <c r="P1432" i="33"/>
  <c r="N1427" i="33"/>
  <c r="R1419" i="33"/>
  <c r="R1507" i="33"/>
  <c r="O1494" i="33"/>
  <c r="Q1507" i="33"/>
  <c r="O1496" i="33"/>
  <c r="N1476" i="33"/>
  <c r="P1465" i="33"/>
  <c r="O1457" i="33"/>
  <c r="Q1443" i="33"/>
  <c r="P1436" i="33"/>
  <c r="R1430" i="33"/>
  <c r="N1426" i="33"/>
  <c r="R1420" i="33"/>
  <c r="O1409" i="33"/>
  <c r="Q1404" i="33"/>
  <c r="O1399" i="33"/>
  <c r="Q1394" i="33"/>
  <c r="Q1390" i="33"/>
  <c r="S1385" i="33"/>
  <c r="Q1382" i="33"/>
  <c r="O1379" i="33"/>
  <c r="O1375" i="33"/>
  <c r="R1363" i="33"/>
  <c r="P1360" i="33"/>
  <c r="P1356" i="33"/>
  <c r="N1353" i="33"/>
  <c r="R1349" i="33"/>
  <c r="R1345" i="33"/>
  <c r="R1500" i="33"/>
  <c r="Q1474" i="33"/>
  <c r="O1460" i="33"/>
  <c r="R1443" i="33"/>
  <c r="S1434" i="33"/>
  <c r="O1426" i="33"/>
  <c r="Q1419" i="33"/>
  <c r="S1406" i="33"/>
  <c r="Q1401" i="33"/>
  <c r="N1397" i="33"/>
  <c r="R1392" i="33"/>
  <c r="P1387" i="33"/>
  <c r="S1382" i="33"/>
  <c r="P1378" i="33"/>
  <c r="N1373" i="33"/>
  <c r="O1361" i="33"/>
  <c r="Q1499" i="33"/>
  <c r="S1473" i="33"/>
  <c r="N1462" i="33"/>
  <c r="P1443" i="33"/>
  <c r="R1432" i="33"/>
  <c r="S1425" i="33"/>
  <c r="O1419" i="33"/>
  <c r="S1404" i="33"/>
  <c r="P1400" i="33"/>
  <c r="N1396" i="33"/>
  <c r="R1390" i="33"/>
  <c r="O1386" i="33"/>
  <c r="R1381" i="33"/>
  <c r="P1376" i="33"/>
  <c r="N1372" i="33"/>
  <c r="N1360" i="33"/>
  <c r="R1354" i="33"/>
  <c r="O1350" i="33"/>
  <c r="S1345" i="33"/>
  <c r="P1341" i="33"/>
  <c r="N1338" i="33"/>
  <c r="R1334" i="33"/>
  <c r="R1330" i="33"/>
  <c r="P1327" i="33"/>
  <c r="S1315" i="33"/>
  <c r="S1311" i="33"/>
  <c r="Q1503" i="33"/>
  <c r="N1478" i="33"/>
  <c r="S1463" i="33"/>
  <c r="R1444" i="33"/>
  <c r="R1435" i="33"/>
  <c r="S1426" i="33"/>
  <c r="O1420" i="33"/>
  <c r="P1406" i="33"/>
  <c r="N1401" i="33"/>
  <c r="R1396" i="33"/>
  <c r="O1392" i="33"/>
  <c r="S1386" i="33"/>
  <c r="P1382" i="33"/>
  <c r="N1378" i="33"/>
  <c r="R1372" i="33"/>
  <c r="S1359" i="33"/>
  <c r="P1355" i="33"/>
  <c r="N1350" i="33"/>
  <c r="Q1345" i="33"/>
  <c r="S1341" i="33"/>
  <c r="S1337" i="33"/>
  <c r="Q1334" i="33"/>
  <c r="O1331" i="33"/>
  <c r="O1327" i="33"/>
  <c r="R1315" i="33"/>
  <c r="P1312" i="33"/>
  <c r="P1308" i="33"/>
  <c r="N1305" i="33"/>
  <c r="P1302" i="33"/>
  <c r="R1299" i="33"/>
  <c r="N1297" i="33"/>
  <c r="P1294" i="33"/>
  <c r="R1291" i="33"/>
  <c r="N1289" i="33"/>
  <c r="P1286" i="33"/>
  <c r="R1283" i="33"/>
  <c r="O1470" i="33"/>
  <c r="O1429" i="33"/>
  <c r="P1404" i="33"/>
  <c r="O1390" i="33"/>
  <c r="N1376" i="33"/>
  <c r="S1356" i="33"/>
  <c r="S1349" i="33"/>
  <c r="N1343" i="33"/>
  <c r="R1337" i="33"/>
  <c r="P1332" i="33"/>
  <c r="N1327" i="33"/>
  <c r="S1314" i="33"/>
  <c r="S1309" i="33"/>
  <c r="O1306" i="33"/>
  <c r="R1302" i="33"/>
  <c r="O1299" i="33"/>
  <c r="Q1295" i="33"/>
  <c r="N1292" i="33"/>
  <c r="Q1288" i="33"/>
  <c r="S1284" i="33"/>
  <c r="R1281" i="33"/>
  <c r="Q1269" i="33"/>
  <c r="S1266" i="33"/>
  <c r="O1264" i="33"/>
  <c r="Q1261" i="33"/>
  <c r="S1258" i="33"/>
  <c r="O1256" i="33"/>
  <c r="Q1253" i="33"/>
  <c r="S1250" i="33"/>
  <c r="O1248" i="33"/>
  <c r="Q1245" i="33"/>
  <c r="S1242" i="33"/>
  <c r="N1232" i="33"/>
  <c r="P1229" i="33"/>
  <c r="R1226" i="33"/>
  <c r="N1224" i="33"/>
  <c r="P1221" i="33"/>
  <c r="R1218" i="33"/>
  <c r="N1216" i="33"/>
  <c r="P1213" i="33"/>
  <c r="R1210" i="33"/>
  <c r="N1208" i="33"/>
  <c r="P1477" i="33"/>
  <c r="Q1426" i="33"/>
  <c r="O1398" i="33"/>
  <c r="R1378" i="33"/>
  <c r="N1356" i="33"/>
  <c r="S1346" i="33"/>
  <c r="S1338" i="33"/>
  <c r="R1331" i="33"/>
  <c r="N1316" i="33"/>
  <c r="P1309" i="33"/>
  <c r="R1304" i="33"/>
  <c r="S1299" i="33"/>
  <c r="O1295" i="33"/>
  <c r="Q1290" i="33"/>
  <c r="Q1285" i="33"/>
  <c r="P1281" i="33"/>
  <c r="P1267" i="33"/>
  <c r="S1263" i="33"/>
  <c r="P1260" i="33"/>
  <c r="R1256" i="33"/>
  <c r="O1253" i="33"/>
  <c r="R1249" i="33"/>
  <c r="N1246" i="33"/>
  <c r="Q1242" i="33"/>
  <c r="Q1230" i="33"/>
  <c r="N1227" i="33"/>
  <c r="Q1223" i="33"/>
  <c r="S1219" i="33"/>
  <c r="P1216" i="33"/>
  <c r="S1212" i="33"/>
  <c r="O1209" i="33"/>
  <c r="S1205" i="33"/>
  <c r="N1195" i="33"/>
  <c r="P1192" i="33"/>
  <c r="R1189" i="33"/>
  <c r="N1187" i="33"/>
  <c r="P1184" i="33"/>
  <c r="R1181" i="33"/>
  <c r="N1179" i="33"/>
  <c r="P1176" i="33"/>
  <c r="R1173" i="33"/>
  <c r="N1171" i="33"/>
  <c r="O1475" i="33"/>
  <c r="O1425" i="33"/>
  <c r="N1392" i="33"/>
  <c r="P1373" i="33"/>
  <c r="O1353" i="33"/>
  <c r="R1343" i="33"/>
  <c r="S1336" i="33"/>
  <c r="Q1329" i="33"/>
  <c r="N1314" i="33"/>
  <c r="S1307" i="33"/>
  <c r="O1303" i="33"/>
  <c r="Q1298" i="33"/>
  <c r="Q1293" i="33"/>
  <c r="S1288" i="33"/>
  <c r="O1284" i="33"/>
  <c r="R1270" i="33"/>
  <c r="O1267" i="33"/>
  <c r="R1263" i="33"/>
  <c r="N1260" i="33"/>
  <c r="Q1256" i="33"/>
  <c r="N1253" i="33"/>
  <c r="P1249" i="33"/>
  <c r="S1245" i="33"/>
  <c r="P1242" i="33"/>
  <c r="P1230" i="33"/>
  <c r="S1226" i="33"/>
  <c r="O1223" i="33"/>
  <c r="R1219" i="33"/>
  <c r="O1216" i="33"/>
  <c r="Q1212" i="33"/>
  <c r="N1209" i="33"/>
  <c r="Q1458" i="33"/>
  <c r="Q1422" i="33"/>
  <c r="N1391" i="33"/>
  <c r="Q1360" i="33"/>
  <c r="Q1350" i="33"/>
  <c r="Q1341" i="33"/>
  <c r="P1519" i="33"/>
  <c r="N1506" i="33"/>
  <c r="Q1514" i="33"/>
  <c r="O1501" i="33"/>
  <c r="R1479" i="33"/>
  <c r="P1468" i="33"/>
  <c r="S1516" i="33"/>
  <c r="Q1505" i="33"/>
  <c r="O1480" i="33"/>
  <c r="P1463" i="33"/>
  <c r="O1441" i="33"/>
  <c r="N1513" i="33"/>
  <c r="S1477" i="33"/>
  <c r="R1446" i="33"/>
  <c r="N1431" i="33"/>
  <c r="Q1409" i="33"/>
  <c r="Q1484" i="33"/>
  <c r="O1484" i="33"/>
  <c r="N1464" i="33"/>
  <c r="S1440" i="33"/>
  <c r="N1430" i="33"/>
  <c r="N1420" i="33"/>
  <c r="Q1402" i="33"/>
  <c r="S1393" i="33"/>
  <c r="O1385" i="33"/>
  <c r="S1377" i="33"/>
  <c r="N1363" i="33"/>
  <c r="R1355" i="33"/>
  <c r="P1348" i="33"/>
  <c r="N1496" i="33"/>
  <c r="S1457" i="33"/>
  <c r="Q1431" i="33"/>
  <c r="O1418" i="33"/>
  <c r="R1400" i="33"/>
  <c r="S1390" i="33"/>
  <c r="N1382" i="33"/>
  <c r="O1372" i="33"/>
  <c r="N1484" i="33"/>
  <c r="Q1459" i="33"/>
  <c r="O1431" i="33"/>
  <c r="P1408" i="33"/>
  <c r="Q1399" i="33"/>
  <c r="R1389" i="33"/>
  <c r="Q1383" i="33"/>
  <c r="O1378" i="33"/>
  <c r="Q1363" i="33"/>
  <c r="P1357" i="33"/>
  <c r="O1351" i="33"/>
  <c r="N1344" i="33"/>
  <c r="N1340" i="33"/>
  <c r="P1335" i="33"/>
  <c r="N1330" i="33"/>
  <c r="O1317" i="33"/>
  <c r="O1313" i="33"/>
  <c r="P1498" i="33"/>
  <c r="S1470" i="33"/>
  <c r="P1446" i="33"/>
  <c r="O1432" i="33"/>
  <c r="O1424" i="33"/>
  <c r="P1407" i="33"/>
  <c r="O1400" i="33"/>
  <c r="N1394" i="33"/>
  <c r="R1388" i="33"/>
  <c r="Q1381" i="33"/>
  <c r="P1375" i="33"/>
  <c r="R1360" i="33"/>
  <c r="Q1353" i="33"/>
  <c r="O1348" i="33"/>
  <c r="Q1342" i="33"/>
  <c r="O1337" i="33"/>
  <c r="Q1332" i="33"/>
  <c r="Q1328" i="33"/>
  <c r="N1315" i="33"/>
  <c r="P1310" i="33"/>
  <c r="R1305" i="33"/>
  <c r="R1301" i="33"/>
  <c r="P1298" i="33"/>
  <c r="N1295" i="33"/>
  <c r="N1291" i="33"/>
  <c r="R1287" i="33"/>
  <c r="P1284" i="33"/>
  <c r="S1460" i="33"/>
  <c r="Q1418" i="33"/>
  <c r="R1393" i="33"/>
  <c r="P1372" i="33"/>
  <c r="P1353" i="33"/>
  <c r="Q1344" i="33"/>
  <c r="P1336" i="33"/>
  <c r="R1329" i="33"/>
  <c r="O1316" i="33"/>
  <c r="S1308" i="33"/>
  <c r="Q1304" i="33"/>
  <c r="N1300" i="33"/>
  <c r="R1294" i="33"/>
  <c r="O1290" i="33"/>
  <c r="S1285" i="33"/>
  <c r="N1281" i="33"/>
  <c r="O1268" i="33"/>
  <c r="S1264" i="33"/>
  <c r="S1260" i="33"/>
  <c r="Q1257" i="33"/>
  <c r="O1254" i="33"/>
  <c r="O1250" i="33"/>
  <c r="S1246" i="33"/>
  <c r="Q1243" i="33"/>
  <c r="P1231" i="33"/>
  <c r="N1228" i="33"/>
  <c r="R1224" i="33"/>
  <c r="R1220" i="33"/>
  <c r="P1217" i="33"/>
  <c r="N1214" i="33"/>
  <c r="N1210" i="33"/>
  <c r="R1206" i="33"/>
  <c r="Q1433" i="33"/>
  <c r="S1392" i="33"/>
  <c r="O1363" i="33"/>
  <c r="S1348" i="33"/>
  <c r="N1337" i="33"/>
  <c r="O1328" i="33"/>
  <c r="P1517" i="33"/>
  <c r="R1504" i="33"/>
  <c r="S1511" i="33"/>
  <c r="Q1500" i="33"/>
  <c r="N1479" i="33"/>
  <c r="R1465" i="33"/>
  <c r="Q1515" i="33"/>
  <c r="S1502" i="33"/>
  <c r="Q1477" i="33"/>
  <c r="R1460" i="33"/>
  <c r="Q1440" i="33"/>
  <c r="S1504" i="33"/>
  <c r="P1475" i="33"/>
  <c r="S1444" i="33"/>
  <c r="P1428" i="33"/>
  <c r="P1520" i="33"/>
  <c r="R1519" i="33"/>
  <c r="R1480" i="33"/>
  <c r="S1461" i="33"/>
  <c r="N1440" i="33"/>
  <c r="N1428" i="33"/>
  <c r="P1419" i="33"/>
  <c r="S1401" i="33"/>
  <c r="S1391" i="33"/>
  <c r="Q1384" i="33"/>
  <c r="O1377" i="33"/>
  <c r="R1361" i="33"/>
  <c r="N1355" i="33"/>
  <c r="R1347" i="33"/>
  <c r="O1479" i="33"/>
  <c r="O1456" i="33"/>
  <c r="O1430" i="33"/>
  <c r="R1408" i="33"/>
  <c r="R1399" i="33"/>
  <c r="N1390" i="33"/>
  <c r="O1380" i="33"/>
  <c r="S1363" i="33"/>
  <c r="S1480" i="33"/>
  <c r="S1446" i="33"/>
  <c r="S1429" i="33"/>
  <c r="Q1407" i="33"/>
  <c r="R1397" i="33"/>
  <c r="S1388" i="33"/>
  <c r="R1382" i="33"/>
  <c r="Q1375" i="33"/>
  <c r="S1361" i="33"/>
  <c r="Q1356" i="33"/>
  <c r="P1349" i="33"/>
  <c r="P1343" i="33"/>
  <c r="R1338" i="33"/>
  <c r="P1333" i="33"/>
  <c r="P1329" i="33"/>
  <c r="Q1316" i="33"/>
  <c r="O1311" i="33"/>
  <c r="R1482" i="33"/>
  <c r="Q1468" i="33"/>
  <c r="S1442" i="33"/>
  <c r="S1430" i="33"/>
  <c r="Q1421" i="33"/>
  <c r="R1404" i="33"/>
  <c r="P1399" i="33"/>
  <c r="N1393" i="33"/>
  <c r="N1386" i="33"/>
  <c r="R1379" i="33"/>
  <c r="P1374" i="33"/>
  <c r="S1358" i="33"/>
  <c r="R1352" i="33"/>
  <c r="Q1346" i="33"/>
  <c r="Q1340" i="33"/>
  <c r="Q1336" i="33"/>
  <c r="S1331" i="33"/>
  <c r="P1318" i="33"/>
  <c r="R1313" i="33"/>
  <c r="R1309" i="33"/>
  <c r="P1304" i="33"/>
  <c r="N1301" i="33"/>
  <c r="R1297" i="33"/>
  <c r="R1293" i="33"/>
  <c r="P1290" i="33"/>
  <c r="N1287" i="33"/>
  <c r="N1283" i="33"/>
  <c r="P1442" i="33"/>
  <c r="N1408" i="33"/>
  <c r="R1386" i="33"/>
  <c r="O1362" i="33"/>
  <c r="Q1351" i="33"/>
  <c r="R1341" i="33"/>
  <c r="N1335" i="33"/>
  <c r="P1328" i="33"/>
  <c r="Q1313" i="33"/>
  <c r="N1308" i="33"/>
  <c r="Q1303" i="33"/>
  <c r="O1298" i="33"/>
  <c r="S1293" i="33"/>
  <c r="P1289" i="33"/>
  <c r="N1284" i="33"/>
  <c r="S1270" i="33"/>
  <c r="Q1267" i="33"/>
  <c r="Q1263" i="33"/>
  <c r="O1260" i="33"/>
  <c r="S1256" i="33"/>
  <c r="S1252" i="33"/>
  <c r="Q1249" i="33"/>
  <c r="O1246" i="33"/>
  <c r="O1242" i="33"/>
  <c r="R1230" i="33"/>
  <c r="P1227" i="33"/>
  <c r="P1223" i="33"/>
  <c r="N1220" i="33"/>
  <c r="R1216" i="33"/>
  <c r="R1212" i="33"/>
  <c r="P1209" i="33"/>
  <c r="N1502" i="33"/>
  <c r="S1419" i="33"/>
  <c r="P1388" i="33"/>
  <c r="Q1358" i="33"/>
  <c r="O1344" i="33"/>
  <c r="Q1335" i="33"/>
  <c r="N1318" i="33"/>
  <c r="R1512" i="33"/>
  <c r="S1519" i="33"/>
  <c r="S1507" i="33"/>
  <c r="O1495" i="33"/>
  <c r="P1474" i="33"/>
  <c r="N1461" i="33"/>
  <c r="O1520" i="33"/>
  <c r="P1496" i="33"/>
  <c r="Q1470" i="33"/>
  <c r="N1456" i="33"/>
  <c r="O1435" i="33"/>
  <c r="R1495" i="33"/>
  <c r="S1465" i="33"/>
  <c r="Q1439" i="33"/>
  <c r="P1424" i="33"/>
  <c r="P1504" i="33"/>
  <c r="R1503" i="33"/>
  <c r="O1471" i="33"/>
  <c r="P1456" i="33"/>
  <c r="R1434" i="33"/>
  <c r="R1424" i="33"/>
  <c r="S1407" i="33"/>
  <c r="Q1398" i="33"/>
  <c r="Q1388" i="33"/>
  <c r="S1381" i="33"/>
  <c r="Q1374" i="33"/>
  <c r="N1359" i="33"/>
  <c r="P1352" i="33"/>
  <c r="N1345" i="33"/>
  <c r="S1469" i="33"/>
  <c r="N1442" i="33"/>
  <c r="S1424" i="33"/>
  <c r="N1405" i="33"/>
  <c r="O1396" i="33"/>
  <c r="P1386" i="33"/>
  <c r="R1376" i="33"/>
  <c r="O1360" i="33"/>
  <c r="Q1471" i="33"/>
  <c r="R1439" i="33"/>
  <c r="Q1424" i="33"/>
  <c r="N1404" i="33"/>
  <c r="O1394" i="33"/>
  <c r="N1387" i="33"/>
  <c r="N1380" i="33"/>
  <c r="R1374" i="33"/>
  <c r="S1360" i="33"/>
  <c r="S1353" i="33"/>
  <c r="Q1347" i="33"/>
  <c r="R1342" i="33"/>
  <c r="P1337" i="33"/>
  <c r="R1332" i="33"/>
  <c r="N1328" i="33"/>
  <c r="Q1314" i="33"/>
  <c r="Q1310" i="33"/>
  <c r="Q1480" i="33"/>
  <c r="P1461" i="33"/>
  <c r="P1439" i="33"/>
  <c r="Q1429" i="33"/>
  <c r="S1418" i="33"/>
  <c r="R1403" i="33"/>
  <c r="Q1397" i="33"/>
  <c r="P1390" i="33"/>
  <c r="N1385" i="33"/>
  <c r="S1378" i="33"/>
  <c r="P1363" i="33"/>
  <c r="O1357" i="33"/>
  <c r="S1351" i="33"/>
  <c r="R1344" i="33"/>
  <c r="S1339" i="33"/>
  <c r="O1335" i="33"/>
  <c r="S1329" i="33"/>
  <c r="R1317" i="33"/>
  <c r="N1313" i="33"/>
  <c r="R1307" i="33"/>
  <c r="R1303" i="33"/>
  <c r="P1300" i="33"/>
  <c r="P1296" i="33"/>
  <c r="N1293" i="33"/>
  <c r="R1289" i="33"/>
  <c r="R1285" i="33"/>
  <c r="N1497" i="33"/>
  <c r="P1435" i="33"/>
  <c r="S1400" i="33"/>
  <c r="N1383" i="33"/>
  <c r="R1358" i="33"/>
  <c r="N1348" i="33"/>
  <c r="P1340" i="33"/>
  <c r="R1333" i="33"/>
  <c r="S1318" i="33"/>
  <c r="O1312" i="33"/>
  <c r="O1307" i="33"/>
  <c r="S1301" i="33"/>
  <c r="P1297" i="33"/>
  <c r="S1292" i="33"/>
  <c r="Q1287" i="33"/>
  <c r="O1283" i="33"/>
  <c r="O1270" i="33"/>
  <c r="O1266" i="33"/>
  <c r="S1262" i="33"/>
  <c r="Q1259" i="33"/>
  <c r="Q1255" i="33"/>
  <c r="O1252" i="33"/>
  <c r="S1248" i="33"/>
  <c r="S1244" i="33"/>
  <c r="Q1241" i="33"/>
  <c r="N1230" i="33"/>
  <c r="N1226" i="33"/>
  <c r="R1222" i="33"/>
  <c r="P1219" i="33"/>
  <c r="P1215" i="33"/>
  <c r="N1212" i="33"/>
  <c r="R1208" i="33"/>
  <c r="Q1465" i="33"/>
  <c r="N1407" i="33"/>
  <c r="N1384" i="33"/>
  <c r="N1354" i="33"/>
  <c r="P1342" i="33"/>
  <c r="Q1333" i="33"/>
  <c r="O1314" i="33"/>
  <c r="S1306" i="33"/>
  <c r="O1301" i="33"/>
  <c r="N1294" i="33"/>
  <c r="N1288" i="33"/>
  <c r="O1282" i="33"/>
  <c r="Q1266" i="33"/>
  <c r="N1262" i="33"/>
  <c r="R1257" i="33"/>
  <c r="P1252" i="33"/>
  <c r="S1247" i="33"/>
  <c r="P1243" i="33"/>
  <c r="R1229" i="33"/>
  <c r="O1225" i="33"/>
  <c r="S1220" i="33"/>
  <c r="Q1215" i="33"/>
  <c r="N1211" i="33"/>
  <c r="Q1206" i="33"/>
  <c r="P1194" i="33"/>
  <c r="N1191" i="33"/>
  <c r="R1187" i="33"/>
  <c r="R1183" i="33"/>
  <c r="P1180" i="33"/>
  <c r="N1177" i="33"/>
  <c r="N1173" i="33"/>
  <c r="R1169" i="33"/>
  <c r="S1431" i="33"/>
  <c r="Q1387" i="33"/>
  <c r="S1357" i="33"/>
  <c r="N1346" i="33"/>
  <c r="S1334" i="33"/>
  <c r="P1317" i="33"/>
  <c r="O1309" i="33"/>
  <c r="N1302" i="33"/>
  <c r="N1296" i="33"/>
  <c r="N1290" i="33"/>
  <c r="S1282" i="33"/>
  <c r="N1269" i="33"/>
  <c r="Q1264" i="33"/>
  <c r="O1259" i="33"/>
  <c r="R1254" i="33"/>
  <c r="P1250" i="33"/>
  <c r="N1245" i="33"/>
  <c r="O1232" i="33"/>
  <c r="R1227" i="33"/>
  <c r="P1222" i="33"/>
  <c r="S1217" i="33"/>
  <c r="Q1213" i="33"/>
  <c r="O1208" i="33"/>
  <c r="S1438" i="33"/>
  <c r="Q1395" i="33"/>
  <c r="Q1357" i="33"/>
  <c r="O1397" i="33"/>
  <c r="P1445" i="33"/>
  <c r="N1423" i="33"/>
  <c r="S1433" i="33"/>
  <c r="S1514" i="33"/>
  <c r="S1505" i="33"/>
  <c r="N206" i="33"/>
  <c r="T206" i="33" s="1"/>
  <c r="N1319" i="33"/>
  <c r="T1319" i="33" s="1"/>
  <c r="N114" i="33" l="1"/>
  <c r="Q160" i="33"/>
  <c r="O114" i="33"/>
  <c r="P69" i="33"/>
  <c r="P817" i="33"/>
  <c r="P160" i="33"/>
  <c r="N69" i="33"/>
  <c r="O69" i="33"/>
  <c r="O908" i="33"/>
  <c r="N817" i="33"/>
  <c r="Q817" i="33"/>
  <c r="Q908" i="33"/>
  <c r="N908" i="33"/>
  <c r="O817" i="33"/>
  <c r="O160" i="33"/>
  <c r="N160" i="33"/>
  <c r="T114" i="33" l="1"/>
  <c r="T69" i="33"/>
  <c r="T817" i="33"/>
  <c r="T908" i="33"/>
  <c r="T160" i="33"/>
  <c r="Q11" i="33" l="1"/>
  <c r="G54" i="33" s="1"/>
  <c r="S13" i="33" l="1"/>
  <c r="T13" i="33" s="1"/>
  <c r="T14" i="33" s="1"/>
  <c r="C63" i="33"/>
  <c r="Q13" i="33" l="1"/>
  <c r="I54" i="33" s="1"/>
  <c r="I62" i="33" s="1"/>
  <c r="BF7" i="33" s="1"/>
  <c r="D15" i="29"/>
  <c r="H12" i="28"/>
  <c r="F12" i="28"/>
  <c r="D12" i="28"/>
  <c r="B10" i="28"/>
  <c r="B8" i="28"/>
  <c r="D13" i="27"/>
  <c r="G10" i="26"/>
  <c r="E10" i="26"/>
  <c r="C10" i="26"/>
  <c r="I67" i="33" l="1"/>
  <c r="I68" i="33" s="1"/>
  <c r="BF10" i="33" s="1"/>
  <c r="C14" i="17"/>
  <c r="R13" i="33" l="1"/>
  <c r="G62" i="33" s="1"/>
  <c r="BB7" i="33" s="1"/>
  <c r="BF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uthor>
    <author>Joaquim Félix</author>
    <author>Pedro Leite</author>
  </authors>
  <commentList>
    <comment ref="I2" authorId="0" shapeId="0" xr:uid="{E1FB340D-FD96-429F-96C4-82C7798B77D5}">
      <text>
        <r>
          <rPr>
            <sz val="9"/>
            <color indexed="81"/>
            <rFont val="Roboto"/>
          </rPr>
          <t xml:space="preserve">INSERIR </t>
        </r>
        <r>
          <rPr>
            <b/>
            <sz val="9"/>
            <color indexed="81"/>
            <rFont val="Roboto"/>
          </rPr>
          <t>Nº DE DEPENDENTES</t>
        </r>
      </text>
    </comment>
    <comment ref="I3" authorId="0" shapeId="0" xr:uid="{B2C4C7C2-9D44-48F2-BBD0-6479986751BB}">
      <text>
        <r>
          <rPr>
            <sz val="9"/>
            <color indexed="81"/>
            <rFont val="Roboto"/>
          </rPr>
          <t xml:space="preserve">INSERIR </t>
        </r>
        <r>
          <rPr>
            <b/>
            <sz val="9"/>
            <color indexed="81"/>
            <rFont val="Roboto"/>
          </rPr>
          <t>Nº DE FALTAS NÃO REMUNERADAS</t>
        </r>
      </text>
    </comment>
    <comment ref="L3" authorId="1" shapeId="0" xr:uid="{00000000-0006-0000-0000-000001000000}">
      <text>
        <r>
          <rPr>
            <b/>
            <sz val="8"/>
            <color indexed="81"/>
            <rFont val="Tahoma"/>
            <family val="2"/>
          </rPr>
          <t>trocado L2 por N17</t>
        </r>
        <r>
          <rPr>
            <sz val="8"/>
            <color indexed="81"/>
            <rFont val="Tahoma"/>
            <family val="2"/>
          </rPr>
          <t xml:space="preserve">
</t>
        </r>
      </text>
    </comment>
    <comment ref="I4" authorId="0" shapeId="0" xr:uid="{D357F502-1A3B-48C2-97C7-269C2658640D}">
      <text>
        <r>
          <rPr>
            <sz val="9"/>
            <color indexed="81"/>
            <rFont val="Roboto"/>
          </rPr>
          <t xml:space="preserve">INSERIR </t>
        </r>
        <r>
          <rPr>
            <b/>
            <sz val="9"/>
            <color indexed="81"/>
            <rFont val="Roboto"/>
          </rPr>
          <t>RENDIMENTO MENSAL BRUTO</t>
        </r>
      </text>
    </comment>
    <comment ref="I5" authorId="2" shapeId="0" xr:uid="{058E703D-B76D-4DA6-9D57-17BCBF640762}">
      <text>
        <r>
          <rPr>
            <b/>
            <sz val="9"/>
            <color indexed="81"/>
            <rFont val="Roboto"/>
          </rPr>
          <t xml:space="preserve">IHT: </t>
        </r>
        <r>
          <rPr>
            <sz val="9"/>
            <color indexed="81"/>
            <rFont val="Roboto"/>
          </rPr>
          <t xml:space="preserve">Isenção de Horário de Trabalho
</t>
        </r>
        <r>
          <rPr>
            <b/>
            <sz val="9"/>
            <color indexed="81"/>
            <rFont val="Roboto"/>
          </rPr>
          <t xml:space="preserve">Diuturnidades: </t>
        </r>
        <r>
          <rPr>
            <sz val="9"/>
            <color indexed="81"/>
            <rFont val="Roboto"/>
          </rPr>
          <t xml:space="preserve">Valor acrescentado ao salário do trabalhador com o propósito de valorizar a sua permanência na empresa, quando não existe possibilidade de aumento de ordenado ou de progressão entre categorias profissionais. </t>
        </r>
      </text>
    </comment>
    <comment ref="L5" authorId="1" shapeId="0" xr:uid="{00000000-0006-0000-0000-000002000000}">
      <text>
        <r>
          <rPr>
            <b/>
            <sz val="8"/>
            <color indexed="81"/>
            <rFont val="Tahoma"/>
            <family val="2"/>
          </rPr>
          <t>soma de 2 parcelas, N2 e N15</t>
        </r>
        <r>
          <rPr>
            <sz val="8"/>
            <color indexed="81"/>
            <rFont val="Tahoma"/>
            <family val="2"/>
          </rPr>
          <t xml:space="preserve">
</t>
        </r>
      </text>
    </comment>
    <comment ref="I6" authorId="0" shapeId="0" xr:uid="{3CBB1B7F-C902-4844-B671-22E9A661E10C}">
      <text>
        <r>
          <rPr>
            <b/>
            <sz val="9"/>
            <color indexed="81"/>
            <rFont val="Roboto"/>
          </rPr>
          <t xml:space="preserve">Soma total de:
</t>
        </r>
        <r>
          <rPr>
            <sz val="9"/>
            <color indexed="81"/>
            <rFont val="Roboto"/>
          </rPr>
          <t xml:space="preserve">
» Sub. Turnos / Sub. Produtividade
» Sub. Escolar, Sub. Transporte
» Sub. Fardamento
» Clausula 74
» Outros Subsídios</t>
        </r>
      </text>
    </comment>
    <comment ref="I7" authorId="2" shapeId="0" xr:uid="{AD6BA2C0-2872-4169-8EFC-709424DDAC7A}">
      <text>
        <r>
          <rPr>
            <b/>
            <sz val="9"/>
            <color indexed="81"/>
            <rFont val="Roboto"/>
          </rPr>
          <t>Subsídio de Turno:</t>
        </r>
        <r>
          <rPr>
            <sz val="9"/>
            <color indexed="81"/>
            <rFont val="Roboto"/>
          </rPr>
          <t xml:space="preserve"> é um complemento ao pagamento do trabalhador por turnos.
</t>
        </r>
        <r>
          <rPr>
            <b/>
            <sz val="9"/>
            <color indexed="81"/>
            <rFont val="Roboto"/>
          </rPr>
          <t xml:space="preserve">Subsídio de Produtividade: </t>
        </r>
        <r>
          <rPr>
            <sz val="9"/>
            <color indexed="81"/>
            <rFont val="Roboto"/>
          </rPr>
          <t>recompensa ou complemento do salário ou simplesmente uma forma de distinguir trabalhadores que se destacaram, atingiram determinadas metas e/ou superaram os objetivos estabelecidos pela entidade empregadora.</t>
        </r>
      </text>
    </comment>
    <comment ref="I8" authorId="2" shapeId="0" xr:uid="{B234252D-5D8A-4DD5-87AA-6DCB0F4E45B8}">
      <text>
        <r>
          <rPr>
            <b/>
            <sz val="9"/>
            <color indexed="81"/>
            <rFont val="Roboto"/>
          </rPr>
          <t xml:space="preserve">Subsídio escolar: </t>
        </r>
        <r>
          <rPr>
            <sz val="9"/>
            <color indexed="81"/>
            <rFont val="Roboto"/>
          </rPr>
          <t>visa ajudar as famílias com baixos recursos com os encargos escolares das crianças e jovens.</t>
        </r>
        <r>
          <rPr>
            <b/>
            <sz val="9"/>
            <color indexed="81"/>
            <rFont val="Roboto"/>
          </rPr>
          <t xml:space="preserve">
Subsídio de transporte:</t>
        </r>
        <r>
          <rPr>
            <sz val="9"/>
            <color indexed="81"/>
            <rFont val="Roboto"/>
          </rPr>
          <t xml:space="preserve"> compensação da empresa por custos incorridos com deslocações dos seus colaboradores. Podem ser pagas deslocações em automóvel (próprio ou de aluguer), em veículo motorizado, que não automóvel, ou em veículos públicos</t>
        </r>
      </text>
    </comment>
    <comment ref="I10" authorId="2" shapeId="0" xr:uid="{1A70E766-6754-4B7A-BC3E-0D26281EA30C}">
      <text>
        <r>
          <rPr>
            <b/>
            <sz val="9"/>
            <color indexed="81"/>
            <rFont val="Roboto"/>
          </rPr>
          <t>Cláusula 74:</t>
        </r>
        <r>
          <rPr>
            <sz val="9"/>
            <color indexed="81"/>
            <rFont val="Roboto"/>
          </rPr>
          <t xml:space="preserve"> Destina-se a compensar os motoristas TIR da maior penosidade e pelo esforço acrescido inerente à actividade que exercem e ainda para os compensar de eventuais aumentos de trabalho</t>
        </r>
        <r>
          <rPr>
            <sz val="9"/>
            <color indexed="81"/>
            <rFont val="Tahoma"/>
            <family val="2"/>
          </rPr>
          <t xml:space="preserve">
</t>
        </r>
      </text>
    </comment>
    <comment ref="I13" authorId="0" shapeId="0" xr:uid="{F7BA37BA-32A7-4BA0-8239-DA091E0242F3}">
      <text>
        <r>
          <rPr>
            <sz val="9"/>
            <color indexed="81"/>
            <rFont val="Roboto"/>
          </rPr>
          <t xml:space="preserve">INSERIR </t>
        </r>
        <r>
          <rPr>
            <b/>
            <sz val="9"/>
            <color indexed="81"/>
            <rFont val="Roboto"/>
          </rPr>
          <t>VALOR MENSAL DE SUBSÍDIO DE REFEIÇÃO</t>
        </r>
      </text>
    </comment>
    <comment ref="I14" authorId="0" shapeId="0" xr:uid="{D6D6A8CE-2867-47D7-A295-284EA90A3A51}">
      <text>
        <r>
          <rPr>
            <sz val="9"/>
            <color indexed="81"/>
            <rFont val="Roboto"/>
          </rPr>
          <t xml:space="preserve">Valor do subsídio de refeição </t>
        </r>
        <r>
          <rPr>
            <b/>
            <sz val="9"/>
            <color indexed="81"/>
            <rFont val="Roboto"/>
          </rPr>
          <t>diário</t>
        </r>
        <r>
          <rPr>
            <sz val="9"/>
            <color indexed="81"/>
            <rFont val="Roboto"/>
          </rPr>
          <t xml:space="preserve"> (calculado com base no "</t>
        </r>
        <r>
          <rPr>
            <b/>
            <sz val="9"/>
            <color indexed="81"/>
            <rFont val="Roboto"/>
          </rPr>
          <t>Subsídio de Refeição Mensal</t>
        </r>
        <r>
          <rPr>
            <sz val="9"/>
            <color indexed="81"/>
            <rFont val="Roboto"/>
          </rPr>
          <t>" a dividir pelo "</t>
        </r>
        <r>
          <rPr>
            <b/>
            <sz val="9"/>
            <color indexed="81"/>
            <rFont val="Roboto"/>
          </rPr>
          <t>Nº de Dias Subsídio de Refeição</t>
        </r>
        <r>
          <rPr>
            <sz val="9"/>
            <color indexed="81"/>
            <rFont val="Roboto"/>
          </rPr>
          <t>")</t>
        </r>
      </text>
    </comment>
    <comment ref="I15" authorId="0" shapeId="0" xr:uid="{629F8708-2760-4B05-8C6D-DE92F1855905}">
      <text>
        <r>
          <rPr>
            <sz val="9"/>
            <color indexed="81"/>
            <rFont val="Roboto"/>
          </rPr>
          <t xml:space="preserve">INSERIR </t>
        </r>
        <r>
          <rPr>
            <b/>
            <sz val="9"/>
            <color indexed="81"/>
            <rFont val="Roboto"/>
          </rPr>
          <t xml:space="preserve">Nº DE DIAS DO MÊS </t>
        </r>
        <r>
          <rPr>
            <sz val="9"/>
            <color indexed="81"/>
            <rFont val="Roboto"/>
          </rPr>
          <t>(EX: 22)</t>
        </r>
      </text>
    </comment>
    <comment ref="L16" authorId="1" shapeId="0" xr:uid="{00000000-0006-0000-0000-000003000000}">
      <text>
        <r>
          <rPr>
            <sz val="8"/>
            <color indexed="81"/>
            <rFont val="Verdana"/>
            <family val="2"/>
          </rPr>
          <t xml:space="preserve">DUODECIMO PRIVADO
</t>
        </r>
      </text>
    </comment>
    <comment ref="I25" authorId="0" shapeId="0" xr:uid="{1954F463-5BF5-47D8-8553-B0E1C959ADDF}">
      <text>
        <r>
          <rPr>
            <sz val="9"/>
            <color indexed="81"/>
            <rFont val="Roboto"/>
          </rPr>
          <t>Este campo é igual a "Outras Deduções 1"</t>
        </r>
      </text>
    </comment>
    <comment ref="I68" authorId="0" shapeId="0" xr:uid="{58A1C69C-E6D1-4653-920D-10A011E67587}">
      <text>
        <r>
          <rPr>
            <sz val="9"/>
            <color indexed="81"/>
            <rFont val="Roboto"/>
          </rPr>
          <t>Cálculo final do</t>
        </r>
        <r>
          <rPr>
            <b/>
            <sz val="9"/>
            <color indexed="81"/>
            <rFont val="Roboto"/>
          </rPr>
          <t xml:space="preserve"> valor líquido </t>
        </r>
        <r>
          <rPr>
            <sz val="9"/>
            <color indexed="81"/>
            <rFont val="Roboto"/>
          </rPr>
          <t xml:space="preserve">a receber </t>
        </r>
        <r>
          <rPr>
            <b/>
            <sz val="9"/>
            <color indexed="81"/>
            <rFont val="Roboto"/>
          </rPr>
          <t>mensalmente</t>
        </r>
      </text>
    </comment>
  </commentList>
</comments>
</file>

<file path=xl/sharedStrings.xml><?xml version="1.0" encoding="utf-8"?>
<sst xmlns="http://schemas.openxmlformats.org/spreadsheetml/2006/main" count="653" uniqueCount="264">
  <si>
    <t>Rendimentos cat A</t>
  </si>
  <si>
    <t>Retenções</t>
  </si>
  <si>
    <t>Contribuições para regimes de proteção social</t>
  </si>
  <si>
    <t>Retenção sobretaxa</t>
  </si>
  <si>
    <t>Pensão alimentos</t>
  </si>
  <si>
    <t>Valor Apurado</t>
  </si>
  <si>
    <t>Simulador anexo B</t>
  </si>
  <si>
    <t>Vendas de mercadorias e produtos</t>
  </si>
  <si>
    <t>Rendimento iliquido</t>
  </si>
  <si>
    <t>Retenções na fonte</t>
  </si>
  <si>
    <t>Pagamentos por conta</t>
  </si>
  <si>
    <t>Valor apurado</t>
  </si>
  <si>
    <t>Simulador anexo C</t>
  </si>
  <si>
    <t>Rendimentos profissionais / contabilidade orgnizada</t>
  </si>
  <si>
    <t>Rendimento liquido exercicio</t>
  </si>
  <si>
    <t>Simulador anexo D</t>
  </si>
  <si>
    <t>Matéria colectável</t>
  </si>
  <si>
    <t>Simulador anexo F (*)</t>
  </si>
  <si>
    <t>(*) verificar a quem pertence o rendimento (sujeito passivo A ou B, se C é divido pelos 2</t>
  </si>
  <si>
    <t>Rendimentos prediais</t>
  </si>
  <si>
    <t xml:space="preserve">Sujeito passivo A </t>
  </si>
  <si>
    <t>Sujeito passivo B</t>
  </si>
  <si>
    <t>Sujeito passivo C</t>
  </si>
  <si>
    <t>Rendas</t>
  </si>
  <si>
    <t>Despesas</t>
  </si>
  <si>
    <t>Simulador anexo J</t>
  </si>
  <si>
    <t>Montante Rendimento</t>
  </si>
  <si>
    <t>Imposto no Estrangeiro</t>
  </si>
  <si>
    <t>Imposto retido em Portugal</t>
  </si>
  <si>
    <t>Meses (*)</t>
  </si>
  <si>
    <t>(*) Caso se verifique através da declaração da pensão enviado, que o cliente aufere esse rendimento sem 13ª e 14ª mês, dividir por 12 (em vez de 14)</t>
  </si>
  <si>
    <t>Prestação de serviços de actividades de exploração de estabelecimentos de alojamento local na modalidade de moradia ou apartamento</t>
  </si>
  <si>
    <t>Result liq exercicio / 12</t>
  </si>
  <si>
    <t>5% vendas mercadorias e produtos / 12</t>
  </si>
  <si>
    <t>25% Prestacoes serviços e outros rendimentos / 12</t>
  </si>
  <si>
    <t>O maior dos seguintes valores do anexo C</t>
  </si>
  <si>
    <t>Redução Func. Público</t>
  </si>
  <si>
    <t>colectável</t>
  </si>
  <si>
    <t xml:space="preserve"> +n/ colectável</t>
  </si>
  <si>
    <t>Nº de Dependentes ( se maior que 5 = 5 ) :</t>
  </si>
  <si>
    <t>todos rend a reduzir</t>
  </si>
  <si>
    <t>Venc.</t>
  </si>
  <si>
    <t>Hora Normal</t>
  </si>
  <si>
    <t>Refeição</t>
  </si>
  <si>
    <t>Seg.Social mês</t>
  </si>
  <si>
    <t>ADSE mês</t>
  </si>
  <si>
    <t>Atenção:</t>
  </si>
  <si>
    <t>Faltas não remuneradas (N.º Dias) :</t>
  </si>
  <si>
    <t>todos rend reduzidos</t>
  </si>
  <si>
    <t>Horas Extras a 12,5 %</t>
  </si>
  <si>
    <t>Preencher todos os campos assinalados</t>
  </si>
  <si>
    <t>duodécimos</t>
  </si>
  <si>
    <t>Horas Extras a 18,75 %</t>
  </si>
  <si>
    <t>H12,5%</t>
  </si>
  <si>
    <t>Ref./ Isenta</t>
  </si>
  <si>
    <t>Quota Sind.</t>
  </si>
  <si>
    <t>Seg.Social duo</t>
  </si>
  <si>
    <t>ADSE duo</t>
  </si>
  <si>
    <t>IHT / Diuturnidades :</t>
  </si>
  <si>
    <t>mes sem redução</t>
  </si>
  <si>
    <t>Horas Extras a 25 %</t>
  </si>
  <si>
    <t>todos 11%</t>
  </si>
  <si>
    <t>Outros Subsídios :</t>
  </si>
  <si>
    <t>mes com redução</t>
  </si>
  <si>
    <t>Horas Extras a 37,5 %</t>
  </si>
  <si>
    <t>H18,75%</t>
  </si>
  <si>
    <t>Ref./Sujeita</t>
  </si>
  <si>
    <t>Deduções</t>
  </si>
  <si>
    <t>Seg.Social ferias</t>
  </si>
  <si>
    <t>ADSE ferias</t>
  </si>
  <si>
    <t>Taxa Global</t>
  </si>
  <si>
    <t>RENDIMENTOS</t>
  </si>
  <si>
    <t>IMPOSTOS</t>
  </si>
  <si>
    <t>Sub. Turnos / Sub. Produtividade</t>
  </si>
  <si>
    <t>duodecimo sem redução</t>
  </si>
  <si>
    <t>Horas Extras a 50 %</t>
  </si>
  <si>
    <t>Trabalhadores em geral</t>
  </si>
  <si>
    <t>Privado - Não Casado</t>
  </si>
  <si>
    <t>Sub. Escolar, Sub. Transporte</t>
  </si>
  <si>
    <t>duodecimo com redução</t>
  </si>
  <si>
    <t>Valor sujeito a IRS e isento SS:</t>
  </si>
  <si>
    <t>H25%</t>
  </si>
  <si>
    <t>Ref. H.Extra</t>
  </si>
  <si>
    <t>RMTotal</t>
  </si>
  <si>
    <t>Seg.Soc.mês+duo</t>
  </si>
  <si>
    <t>ADSE mês+duo</t>
  </si>
  <si>
    <t>Memb. órgãos estatutários pessoas colectivas</t>
  </si>
  <si>
    <t>Privado - Casado 1 Titular</t>
  </si>
  <si>
    <t>Total de Rendimentos</t>
  </si>
  <si>
    <t>Sub. Fardamento</t>
  </si>
  <si>
    <t>venc sem redução</t>
  </si>
  <si>
    <t>Outros Subsídios, Prémios, etc :</t>
  </si>
  <si>
    <t>Trabalhadores no domicílio</t>
  </si>
  <si>
    <t>Privado - Casado 2 Titulares</t>
  </si>
  <si>
    <t>Total Descontos</t>
  </si>
  <si>
    <t>Clausula 74</t>
  </si>
  <si>
    <t>venc com redução</t>
  </si>
  <si>
    <t>D Faltas x -1</t>
  </si>
  <si>
    <t>H37,5%</t>
  </si>
  <si>
    <t>Taxa IRS mês</t>
  </si>
  <si>
    <t>RMSujeito</t>
  </si>
  <si>
    <t>Praticantes desportivos profissionais</t>
  </si>
  <si>
    <t>Privado - Não Casado - Deficiente</t>
  </si>
  <si>
    <t>Valor Liquido a Receber</t>
  </si>
  <si>
    <t>Outros Subsídios</t>
  </si>
  <si>
    <t>Redução M e Duo</t>
  </si>
  <si>
    <t>Sub.ref.col.</t>
  </si>
  <si>
    <t>Trab.em regime contrato de muito curta duração</t>
  </si>
  <si>
    <t>Privado - Casado 1 Titular - Deficiente</t>
  </si>
  <si>
    <t>Sub.ref.isent.</t>
  </si>
  <si>
    <t>H50%</t>
  </si>
  <si>
    <t>IRS tot Arr.</t>
  </si>
  <si>
    <t>% tot.desc.</t>
  </si>
  <si>
    <t>IRS mes</t>
  </si>
  <si>
    <t>Sobtax 3,5% mês</t>
  </si>
  <si>
    <t>Pensionistas de invalidez em actividade</t>
  </si>
  <si>
    <t>Privado - Casado 2 Titulares - Deficiente</t>
  </si>
  <si>
    <t>Ref.ext.col.</t>
  </si>
  <si>
    <t>Pensionistas de velhice em actividade</t>
  </si>
  <si>
    <t>Função Pública - Não Casado</t>
  </si>
  <si>
    <t>Subsídio Diário de Refeição :</t>
  </si>
  <si>
    <t>Ref.ext.isent.</t>
  </si>
  <si>
    <t>Tax.irs duo/fer</t>
  </si>
  <si>
    <t>Imp.Selo</t>
  </si>
  <si>
    <t>IRS duo</t>
  </si>
  <si>
    <t>Trabalhadores agrícolas</t>
  </si>
  <si>
    <t>Função Pública - Casado 1 Titular</t>
  </si>
  <si>
    <t>Pagos com Regularidade :</t>
  </si>
  <si>
    <t>Sobtax 3,5% Duo.</t>
  </si>
  <si>
    <t>Trabalhadores da pesca local e costeira</t>
  </si>
  <si>
    <t>Função Pública - Casado 2 Titulares</t>
  </si>
  <si>
    <t>duodécimo privado</t>
  </si>
  <si>
    <t>Out.sub.N/col.</t>
  </si>
  <si>
    <t>IRS ferias</t>
  </si>
  <si>
    <t>Trab. serviço doméstico c/protecção desemprego</t>
  </si>
  <si>
    <t>Função Pública - Não Casado - Deficiente</t>
  </si>
  <si>
    <t>(Duodécimo Subs. Natal e Férias)</t>
  </si>
  <si>
    <t>Totais</t>
  </si>
  <si>
    <t>Trab. serviço doméstico s/protecção desemprego</t>
  </si>
  <si>
    <t>Função Pública - Casado 1 Titular - Deficiente</t>
  </si>
  <si>
    <t>Decreto-Lei n.º 3/2017</t>
  </si>
  <si>
    <t>Sobtax 3,5% ferias</t>
  </si>
  <si>
    <t>Trab. activos c/ 65 anos de idade e 40 de serviço</t>
  </si>
  <si>
    <t>Função Pública - Casado 2 Titulares - Deficiente</t>
  </si>
  <si>
    <t>Rendimentos sujeitos a IRS e Isentos de Seg. Social :</t>
  </si>
  <si>
    <t>Outros Rendimentos Isentos de Impostos :</t>
  </si>
  <si>
    <t xml:space="preserve">Total de Outras Deduções </t>
  </si>
  <si>
    <t>Actualizado para 2018</t>
  </si>
  <si>
    <t>Tabelas de IRS de retenção na fonte referente a 2018 no Continente</t>
  </si>
  <si>
    <t>Outras Deduções  1</t>
  </si>
  <si>
    <t xml:space="preserve">TABELA I - TRABALHO DEPENDENTE </t>
  </si>
  <si>
    <t>Outras Deduções  2</t>
  </si>
  <si>
    <t>NÃO CASADO</t>
  </si>
  <si>
    <t>Outras Deduções  3</t>
  </si>
  <si>
    <t>até</t>
  </si>
  <si>
    <t>0 dep</t>
  </si>
  <si>
    <t>1 dep</t>
  </si>
  <si>
    <t>2 dep</t>
  </si>
  <si>
    <t>3 dep</t>
  </si>
  <si>
    <t>4 dep</t>
  </si>
  <si>
    <t>5 dep. ou +</t>
  </si>
  <si>
    <t>Outras Deduções  4</t>
  </si>
  <si>
    <t>Outras Deduções  5</t>
  </si>
  <si>
    <t>Outras Deduções  6</t>
  </si>
  <si>
    <t>Outras Deduções  7</t>
  </si>
  <si>
    <t>DESIGNAÇÃO</t>
  </si>
  <si>
    <t>VAL. UNIT.</t>
  </si>
  <si>
    <t>UNID.</t>
  </si>
  <si>
    <t>Vencimento Base</t>
  </si>
  <si>
    <t>Retenção na Fonte de IRS</t>
  </si>
  <si>
    <t xml:space="preserve"> Rendimentos VS Impostos</t>
  </si>
  <si>
    <t xml:space="preserve">Totais </t>
  </si>
  <si>
    <t>Taxa IRS :</t>
  </si>
  <si>
    <t>Valor da Hora Normal:</t>
  </si>
  <si>
    <t>Valores Sujeitos a Impostos</t>
  </si>
  <si>
    <t>Valores Isentos de Seg. Soc.</t>
  </si>
  <si>
    <t>Valores Isentos de Impostos</t>
  </si>
  <si>
    <t>T A B E L A  II - TRABALHO DEPENDENTE</t>
  </si>
  <si>
    <t>CASADO UNICO TITULAR</t>
  </si>
  <si>
    <t>T A B E L A  III - TRABALHO DEPENDENTE</t>
  </si>
  <si>
    <t>CASADO DOIS TITULARES</t>
  </si>
  <si>
    <t>Tabelas de IRS de retenção na fonte referente a 2018 nos Açores</t>
  </si>
  <si>
    <t>Não casado</t>
  </si>
  <si>
    <t>Único titular</t>
  </si>
  <si>
    <t>2 titulares</t>
  </si>
  <si>
    <t>Tabelas de IRS de retenção na fonte referente a 2018 na Madeira</t>
  </si>
  <si>
    <t>T A B E L A III - TRABALHO DEPENDENTE</t>
  </si>
  <si>
    <t>T A B E L A  I V - TRABALHO DEPENDENTE</t>
  </si>
  <si>
    <t>NÃO CASADO - DEFICIENTE</t>
  </si>
  <si>
    <t>T A B E L A   V - TRABALHO DEPENDENTE</t>
  </si>
  <si>
    <t>CASADO UNICO TITULAR - DEFICIENTE</t>
  </si>
  <si>
    <t>T A B E L A  VI - TRABALHO DEPENDENTE</t>
  </si>
  <si>
    <t>CASADO DOIS TITULARES - DEFICIENTE</t>
  </si>
  <si>
    <t>Não casado deficiente</t>
  </si>
  <si>
    <t>Único titular deficiente</t>
  </si>
  <si>
    <t>2 titulares deficiente</t>
  </si>
  <si>
    <t>T A B E L A I V - TRABALHO DEPENDENTE</t>
  </si>
  <si>
    <t>T A B E L A VI - TRABALHO DEPENDENTE</t>
  </si>
  <si>
    <t>T A B E L A  X - TRABALHO DEPENDENTE ARTIGO 29.º DA LEI DO ORÇAMENTO DO ESTADO PARA 2018</t>
  </si>
  <si>
    <t>T A B E L A  XI - TRABALHO DEPENDENTE ARTIGO 29.º DA LEI DO ORÇAMENTO DO ESTADO PARA 2018</t>
  </si>
  <si>
    <t>T A B E L A  XII - TRABALHO DEPENDENTE ARTIGO 29.º DA LEI DO ORÇAMENTO DO ESTADO PARA 2018</t>
  </si>
  <si>
    <t>T A B E L A  XIII - TRABALHO DEPENDENTE ARTIGO 29.º DA LEI DO ORÇAMENTO DO ESTADO PARA 2018</t>
  </si>
  <si>
    <t>T A B E L A  XIV - TRABALHO DEPENDENTE ARTIGO 29.º DA LEI DO ORÇAMENTO DO ESTADO PARA 2018</t>
  </si>
  <si>
    <t>T A B E L A  XV - TRABALHO DEPENDENTE ARTIGO 29.º DA LEI DO ORÇAMENTO DO ESTADO PARA 2018</t>
  </si>
  <si>
    <t>TABELA X - TRABALHO DEPENDENTE ARTIGO 29.º DA LEI DO ORÇAMENTO DO ESTADO PARA 2018</t>
  </si>
  <si>
    <t>TABELA XI - TRABALHO DEPENDENTE ARTIGO 29.º DA LEI DO ORÇAMENTO DO ESTADO PARA 2018</t>
  </si>
  <si>
    <t>TABELA XII - TRABALHO DEPENDENTE ARTIGO 29.º DA LEI DO ORÇAMENTO DO ESTADO PARA 2018</t>
  </si>
  <si>
    <t>TABELA XIII - TRABALHO DEPENDENTE ARTIGO 29.º DA LEI DO ORÇAMENTO DO ESTADO PARA 2018</t>
  </si>
  <si>
    <t>TABELA XIV - TRABALHO DEPENDENTE ARTIGO 29.º DA LEI DO ORÇAMENTO DO ESTADO PARA 2018</t>
  </si>
  <si>
    <t>TABELA XV - TRABALHO DEPENDENTE ARTIGO 29.º DA LEI DO ORÇAMENTO DO ESTADO PARA 2018</t>
  </si>
  <si>
    <t>SIMULADOR</t>
  </si>
  <si>
    <t>ANEXO D - Este anexo destina-se a declarar rendimentos que tenham sido imputados ao respectivo titular, no âmbito do regime de transparência fiscal, de herança indivisa e outros. Enquadra-se neste regime, principalmente, todas as Sociedades de Profissionais (ex: Sociedades de Advogados, Revisores de Contas, Economistas...), cuja actividade e regulada por uma Ordem (dos Médicos, Advogados, etc.) – Artigo 6 do CIRC (código do IRC).</t>
  </si>
  <si>
    <t>ANEXO J – Destina-se a declarar os rendimentos obtidos por residentes, fora do território Português. Este anexo poderá ser utilizado para cálculo de pensões obtidas no estrangeiro, desde de que acompanhado pela respectiva declaração da pensão do país de origem.</t>
  </si>
  <si>
    <t>Actualizado para 2020</t>
  </si>
  <si>
    <t>Actualizado para …</t>
  </si>
  <si>
    <t>Actualizado para….</t>
  </si>
  <si>
    <t>Se Propriedade intelectual - Anexo - campo 501 a 506</t>
  </si>
  <si>
    <t>RENDIMENTOS BRUTOS (OBTIDOS EM TERRITORIO PORTUGUES)</t>
  </si>
  <si>
    <t>Rendimentos profissionais, comerciais e industriais</t>
  </si>
  <si>
    <t>%</t>
  </si>
  <si>
    <t>Prestação serviços de actividade hoteleiras, restauração e bebidas - anos 2015 e 2016</t>
  </si>
  <si>
    <t>Prestação de serviços de actividades de restauração e bebidas</t>
  </si>
  <si>
    <t>Prestação de serviços de actividades hoteleiras e similares</t>
  </si>
  <si>
    <t>Rendimento das actividades profissionais previstas na Tabela do artº 151º do CIRS</t>
  </si>
  <si>
    <t>Rendimentos de prestações de serviços não previstos nos campos anteriores</t>
  </si>
  <si>
    <t>Propriedade intelectual (não abrangida pelo artº 58º do EBF), industrial ou de prestação de informaçoes</t>
  </si>
  <si>
    <t>Propriedade intelectual (rendimentos abrangidos pelo artº 58º EBF - parte não isenta)</t>
  </si>
  <si>
    <t>Rendimentos da categoria B não incluidos nos campos anteriores</t>
  </si>
  <si>
    <t>Rendimentos, agricolas, silviculas e pecuarios</t>
  </si>
  <si>
    <t>Vendas de produtos com exceção das incluidas no campo 457</t>
  </si>
  <si>
    <t>prestação de serviços</t>
  </si>
  <si>
    <t>Rendimentos de actividades agrícolas, silvicolas  e pecuarias não incluidos nos campos anteriores</t>
  </si>
  <si>
    <t>Servoços prestados por sócios a sociedades de profissionais do Regime de Transparència Fiscal</t>
  </si>
  <si>
    <t>Rendimentos e actividades financeiras (codigos CAE iniciados por 64, 65 ou 66)</t>
  </si>
  <si>
    <t>rendimentos profissionais</t>
  </si>
  <si>
    <t>Codigos</t>
  </si>
  <si>
    <t>Categorias</t>
  </si>
  <si>
    <t>A</t>
  </si>
  <si>
    <t>B</t>
  </si>
  <si>
    <t>Remunerações auferidas na qualidade de tripulante de navios registados no Registo Internacional de Navios (Zona Franca da Madeira) - (n.º 8 do artigo 33.º do EBF)</t>
  </si>
  <si>
    <t>Remunerações auferidas ao abrigo de acordos de cooperação – (n.ºs 1 e 2 do artigo 39.º do EBF) – isenção não dependente de reconhecimento prévio</t>
  </si>
  <si>
    <t>Remunerações auferidas ao abrigo de acordos de cooperação - (n.º 3 do artigo 39.º do EBF) – isenção dependente de reconhecimento prévio - trabalho dependente</t>
  </si>
  <si>
    <t>Remunerações auferidas ao abrigo de acordos de cooperação - (n.ºs 3 e 5 do artigo 39.º do EBF) – isenção dependente de reconhecimento prévio – rendimentos profissionais</t>
  </si>
  <si>
    <t>Remunerações auferidas no desempenho de funções integradas em missões de caráter militar, efetuadas no estrangeiro, com objetivos humanitários - (artigo 38.º do EBF)</t>
  </si>
  <si>
    <t>Remunerações auferidas ao abrigo de acordos de cooperação – (n.ºs 1 e 2 do artigo 39.º do EBF) – isenção não dependente de reconhecimento prévio – rendimentos profissionais</t>
  </si>
  <si>
    <t>Remunerações do trabalho dependente auferidas a título de compensação em consequência da deslocação do normal local de trabalho do sujeito passivo para o estrangeiro – (artigo 39.º-A do EBF)</t>
  </si>
  <si>
    <t>Remunerações auferidas na qualidade de tripulantes dos navios ou embarcações considerados para efeitos do regime especial de determinação da matéria coletável – (artigo 4.º do Decreto-Lei n.º 92/2018, de 13 de novembro)</t>
  </si>
  <si>
    <t>QUADRO 4 - RENDIMENTOS ISENTOS SUJEITOS A ENGLOBAMENTO</t>
  </si>
  <si>
    <t>SIMULADOR ANEXO H</t>
  </si>
  <si>
    <t>RETENÇÃO DO IRS</t>
  </si>
  <si>
    <t>VALOR APURADO</t>
  </si>
  <si>
    <t>Açores 2022</t>
  </si>
  <si>
    <t>Continente 2023</t>
  </si>
  <si>
    <t>Actualizado para 2023 - continente</t>
  </si>
  <si>
    <t>Actualizado para 2023</t>
  </si>
  <si>
    <t>Tabelas de IRS de retenção na fonte referente a 2023 no Continente</t>
  </si>
  <si>
    <t>Tabelas de IRS de retenção na fonte referente a 2022 nos Açores</t>
  </si>
  <si>
    <t>Tabelas de IRS de retenção na fonte referente a 2022 na Madeira</t>
  </si>
  <si>
    <t>Madeira 2022</t>
  </si>
  <si>
    <t>CALCULADORA DE SALÁRIO LÍQUIDO 2023</t>
  </si>
  <si>
    <r>
      <t xml:space="preserve">Nº de Dias Subsídio de Refeição: </t>
    </r>
    <r>
      <rPr>
        <b/>
        <sz val="10"/>
        <color theme="0"/>
        <rFont val="Roboto"/>
      </rPr>
      <t>*</t>
    </r>
  </si>
  <si>
    <t>Subsídio de Refeição Mensal: *</t>
  </si>
  <si>
    <t>Vencimento Base: *</t>
  </si>
  <si>
    <t xml:space="preserve">FOLHA DE REMUNERAÇÃO MENSAL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</si>
</sst>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0.00\ &quot;€&quot;;[Red]\-#,##0.00\ &quot;€&quot;"/>
    <numFmt numFmtId="164" formatCode="0.0%"/>
    <numFmt numFmtId="165" formatCode="#,##0.00\ &quot;€&quot;;[Red]#,##0.00\ &quot;€&quot;"/>
    <numFmt numFmtId="166" formatCode="#,##0.00\ &quot;€&quot;"/>
    <numFmt numFmtId="167" formatCode="#,##0;[Red]#,##0"/>
    <numFmt numFmtId="168" formatCode="#,##0.0000"/>
    <numFmt numFmtId="169" formatCode="#,##0.000"/>
    <numFmt numFmtId="170" formatCode="0.0"/>
    <numFmt numFmtId="171" formatCode="0.0000"/>
    <numFmt numFmtId="172" formatCode="#,##0.000000"/>
    <numFmt numFmtId="173" formatCode="#,##0.00\ [$€-1];[Red]\-#,##0.00\ [$€-1]"/>
    <numFmt numFmtId="174" formatCode="#,##0.0\ [$€-1];\-#,##0.0\ [$€-1]"/>
    <numFmt numFmtId="175" formatCode="0.000%"/>
    <numFmt numFmtId="176" formatCode="0.000"/>
    <numFmt numFmtId="177" formatCode="#,##0.0"/>
    <numFmt numFmtId="178" formatCode="#,##0.00\ [$€-1];\-#,##0.00\ [$€-1]"/>
    <numFmt numFmtId="179" formatCode="#,##0.000\ &quot;€&quot;;[Red]\-#,##0.000\ &quot;€&quot;"/>
    <numFmt numFmtId="180" formatCode="_-* #,##0.00\ &quot;Esc.&quot;_-;\-* #,##0.00\ &quot;Esc.&quot;_-;_-* &quot;-&quot;??\ &quot;Esc.&quot;_-;_-@_-"/>
    <numFmt numFmtId="181" formatCode="#,##0.00&quot;%&quot;"/>
  </numFmts>
  <fonts count="9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b/>
      <sz val="12"/>
      <color theme="1"/>
      <name val="Calibri"/>
      <family val="2"/>
      <scheme val="minor"/>
    </font>
    <font>
      <b/>
      <sz val="20"/>
      <color theme="1"/>
      <name val="Calibri"/>
      <family val="2"/>
      <scheme val="minor"/>
    </font>
    <font>
      <b/>
      <sz val="30"/>
      <color theme="0"/>
      <name val="Calibri"/>
      <family val="2"/>
      <scheme val="minor"/>
    </font>
    <font>
      <sz val="20"/>
      <color theme="1"/>
      <name val="Calibri"/>
      <family val="2"/>
      <scheme val="minor"/>
    </font>
    <font>
      <b/>
      <i/>
      <sz val="30"/>
      <color theme="0"/>
      <name val="Calibri"/>
      <family val="2"/>
      <scheme val="minor"/>
    </font>
    <font>
      <sz val="10"/>
      <color rgb="FF000000"/>
      <name val="Tahoma"/>
      <family val="2"/>
    </font>
    <font>
      <b/>
      <sz val="35"/>
      <color theme="0"/>
      <name val="Calibri"/>
      <family val="2"/>
      <scheme val="minor"/>
    </font>
    <font>
      <sz val="9"/>
      <color theme="1"/>
      <name val="Calibri"/>
      <family val="2"/>
      <scheme val="minor"/>
    </font>
    <font>
      <b/>
      <sz val="14"/>
      <color theme="0"/>
      <name val="Calibri"/>
      <family val="2"/>
      <scheme val="minor"/>
    </font>
    <font>
      <sz val="11"/>
      <color rgb="FF9C6500"/>
      <name val="Calibri"/>
      <family val="2"/>
      <scheme val="minor"/>
    </font>
    <font>
      <sz val="8"/>
      <color rgb="FF000000"/>
      <name val="Tahoma"/>
      <family val="2"/>
    </font>
    <font>
      <sz val="10"/>
      <name val="Arial"/>
      <family val="2"/>
    </font>
    <font>
      <b/>
      <sz val="11"/>
      <color theme="0" tint="-0.499984740745262"/>
      <name val="Calibri"/>
      <family val="2"/>
      <scheme val="minor"/>
    </font>
    <font>
      <sz val="11"/>
      <color theme="0" tint="-0.499984740745262"/>
      <name val="Calibri"/>
      <family val="2"/>
      <scheme val="minor"/>
    </font>
    <font>
      <b/>
      <sz val="30"/>
      <color theme="7" tint="0.39997558519241921"/>
      <name val="Calibri"/>
      <family val="2"/>
      <scheme val="minor"/>
    </font>
    <font>
      <b/>
      <sz val="35"/>
      <color theme="7" tint="0.39997558519241921"/>
      <name val="Calibri"/>
      <family val="2"/>
      <scheme val="minor"/>
    </font>
    <font>
      <sz val="12"/>
      <color theme="1"/>
      <name val="Calibri"/>
      <family val="2"/>
      <scheme val="minor"/>
    </font>
    <font>
      <b/>
      <sz val="19"/>
      <color theme="0"/>
      <name val="Calibri"/>
      <family val="2"/>
      <scheme val="minor"/>
    </font>
    <font>
      <sz val="20"/>
      <color rgb="FFFF0000"/>
      <name val="Calibri"/>
      <family val="2"/>
      <scheme val="minor"/>
    </font>
    <font>
      <b/>
      <sz val="8"/>
      <color indexed="81"/>
      <name val="Tahoma"/>
      <family val="2"/>
    </font>
    <font>
      <sz val="8"/>
      <color indexed="81"/>
      <name val="Tahoma"/>
      <family val="2"/>
    </font>
    <font>
      <sz val="8"/>
      <color indexed="81"/>
      <name val="Verdana"/>
      <family val="2"/>
    </font>
    <font>
      <sz val="11"/>
      <name val="Arial"/>
      <family val="2"/>
    </font>
    <font>
      <sz val="18"/>
      <color theme="1"/>
      <name val="Calibri"/>
      <family val="2"/>
      <scheme val="minor"/>
    </font>
    <font>
      <b/>
      <sz val="18"/>
      <color theme="1"/>
      <name val="Calibri"/>
      <family val="2"/>
      <scheme val="minor"/>
    </font>
    <font>
      <b/>
      <sz val="12"/>
      <color theme="0"/>
      <name val="Calibri"/>
      <family val="2"/>
      <scheme val="minor"/>
    </font>
    <font>
      <sz val="12"/>
      <color theme="0"/>
      <name val="Calibri"/>
      <family val="2"/>
      <scheme val="minor"/>
    </font>
    <font>
      <sz val="11"/>
      <color rgb="FFFFFF00"/>
      <name val="Calibri"/>
      <family val="2"/>
      <scheme val="minor"/>
    </font>
    <font>
      <b/>
      <u/>
      <sz val="11"/>
      <name val="Calibri"/>
      <family val="2"/>
      <scheme val="minor"/>
    </font>
    <font>
      <b/>
      <sz val="14"/>
      <color theme="1"/>
      <name val="Calibri"/>
      <family val="2"/>
      <scheme val="minor"/>
    </font>
    <font>
      <sz val="24"/>
      <color theme="1"/>
      <name val="Calibri"/>
      <family val="2"/>
      <scheme val="minor"/>
    </font>
    <font>
      <b/>
      <sz val="18"/>
      <color theme="0"/>
      <name val="Roboto"/>
    </font>
    <font>
      <sz val="11"/>
      <color theme="0" tint="-0.34998626667073579"/>
      <name val="Roboto"/>
    </font>
    <font>
      <sz val="8"/>
      <color indexed="10"/>
      <name val="Roboto"/>
    </font>
    <font>
      <sz val="8"/>
      <name val="Roboto"/>
    </font>
    <font>
      <sz val="11"/>
      <name val="Roboto"/>
    </font>
    <font>
      <sz val="9"/>
      <color indexed="10"/>
      <name val="Roboto"/>
    </font>
    <font>
      <sz val="11"/>
      <color rgb="FFFF0000"/>
      <name val="Roboto"/>
    </font>
    <font>
      <sz val="8"/>
      <color theme="0" tint="-0.34998626667073579"/>
      <name val="Roboto"/>
    </font>
    <font>
      <sz val="10"/>
      <name val="Roboto"/>
    </font>
    <font>
      <b/>
      <sz val="10"/>
      <color indexed="18"/>
      <name val="Roboto"/>
    </font>
    <font>
      <b/>
      <sz val="11"/>
      <name val="Roboto"/>
    </font>
    <font>
      <sz val="10"/>
      <color indexed="10"/>
      <name val="Roboto"/>
    </font>
    <font>
      <u/>
      <sz val="11"/>
      <name val="Roboto"/>
    </font>
    <font>
      <sz val="12"/>
      <name val="Roboto"/>
    </font>
    <font>
      <b/>
      <sz val="10"/>
      <name val="Roboto"/>
    </font>
    <font>
      <sz val="12"/>
      <color rgb="FF99CC00"/>
      <name val="Roboto"/>
    </font>
    <font>
      <sz val="10"/>
      <color theme="0"/>
      <name val="Roboto"/>
    </font>
    <font>
      <b/>
      <sz val="10"/>
      <color theme="0"/>
      <name val="Roboto"/>
    </font>
    <font>
      <b/>
      <sz val="12"/>
      <color theme="0"/>
      <name val="Roboto"/>
    </font>
    <font>
      <sz val="10"/>
      <color indexed="18"/>
      <name val="Roboto"/>
    </font>
    <font>
      <b/>
      <sz val="12"/>
      <color indexed="23"/>
      <name val="Roboto"/>
    </font>
    <font>
      <b/>
      <sz val="12"/>
      <name val="Roboto"/>
    </font>
    <font>
      <b/>
      <sz val="10"/>
      <color indexed="12"/>
      <name val="Roboto"/>
    </font>
    <font>
      <sz val="10"/>
      <color indexed="23"/>
      <name val="Roboto"/>
    </font>
    <font>
      <b/>
      <sz val="16"/>
      <color rgb="FF002060"/>
      <name val="Roboto"/>
    </font>
    <font>
      <b/>
      <sz val="14"/>
      <color rgb="FF002060"/>
      <name val="Roboto"/>
    </font>
    <font>
      <b/>
      <sz val="11"/>
      <color rgb="FFFF0000"/>
      <name val="Roboto"/>
    </font>
    <font>
      <sz val="10"/>
      <color indexed="55"/>
      <name val="Roboto"/>
    </font>
    <font>
      <b/>
      <sz val="14"/>
      <color theme="0"/>
      <name val="Roboto"/>
    </font>
    <font>
      <sz val="14"/>
      <color theme="0"/>
      <name val="Roboto"/>
    </font>
    <font>
      <b/>
      <sz val="11"/>
      <color theme="0"/>
      <name val="Roboto"/>
    </font>
    <font>
      <b/>
      <sz val="9"/>
      <name val="Roboto"/>
    </font>
    <font>
      <sz val="9"/>
      <color indexed="23"/>
      <name val="Roboto"/>
    </font>
    <font>
      <sz val="9"/>
      <name val="Roboto"/>
    </font>
    <font>
      <b/>
      <sz val="10"/>
      <color indexed="10"/>
      <name val="Roboto"/>
    </font>
    <font>
      <sz val="11"/>
      <color indexed="12"/>
      <name val="Roboto"/>
    </font>
    <font>
      <b/>
      <sz val="12"/>
      <color indexed="10"/>
      <name val="Roboto"/>
    </font>
    <font>
      <sz val="10"/>
      <color theme="0" tint="-0.34998626667073579"/>
      <name val="Roboto"/>
    </font>
    <font>
      <b/>
      <sz val="10"/>
      <color indexed="23"/>
      <name val="Roboto"/>
    </font>
    <font>
      <b/>
      <i/>
      <sz val="10"/>
      <color indexed="12"/>
      <name val="Roboto"/>
    </font>
    <font>
      <sz val="11"/>
      <color theme="1"/>
      <name val="Roboto"/>
    </font>
    <font>
      <sz val="11"/>
      <color indexed="10"/>
      <name val="Roboto"/>
    </font>
    <font>
      <sz val="10"/>
      <color indexed="14"/>
      <name val="Roboto"/>
    </font>
    <font>
      <b/>
      <sz val="10"/>
      <color indexed="14"/>
      <name val="Roboto"/>
    </font>
    <font>
      <sz val="11"/>
      <color indexed="14"/>
      <name val="Roboto"/>
    </font>
    <font>
      <b/>
      <sz val="10"/>
      <color indexed="17"/>
      <name val="Roboto"/>
    </font>
    <font>
      <sz val="11"/>
      <color indexed="17"/>
      <name val="Roboto"/>
    </font>
    <font>
      <sz val="10"/>
      <color indexed="8"/>
      <name val="Roboto"/>
    </font>
    <font>
      <sz val="10"/>
      <color indexed="12"/>
      <name val="Roboto"/>
    </font>
    <font>
      <sz val="10"/>
      <color theme="1" tint="0.34998626667073579"/>
      <name val="Roboto"/>
    </font>
    <font>
      <b/>
      <sz val="10"/>
      <color theme="1" tint="0.34998626667073579"/>
      <name val="Roboto"/>
    </font>
    <font>
      <sz val="11"/>
      <color theme="1" tint="0.34998626667073579"/>
      <name val="Roboto"/>
    </font>
    <font>
      <b/>
      <sz val="11"/>
      <color theme="1" tint="0.34998626667073579"/>
      <name val="Roboto"/>
    </font>
    <font>
      <b/>
      <sz val="8"/>
      <color rgb="FFFC6703"/>
      <name val="Roboto"/>
    </font>
    <font>
      <b/>
      <sz val="12"/>
      <color theme="1" tint="0.34998626667073579"/>
      <name val="Roboto"/>
    </font>
    <font>
      <b/>
      <sz val="9"/>
      <color indexed="81"/>
      <name val="Roboto"/>
    </font>
    <font>
      <sz val="9"/>
      <color indexed="81"/>
      <name val="Roboto"/>
    </font>
    <font>
      <b/>
      <sz val="10"/>
      <color theme="0"/>
      <name val="Roboto Black"/>
    </font>
    <font>
      <sz val="9"/>
      <color indexed="81"/>
      <name val="Tahoma"/>
      <family val="2"/>
    </font>
  </fonts>
  <fills count="28">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EB9C"/>
      </patternFill>
    </fill>
    <fill>
      <patternFill patternType="solid">
        <fgColor theme="8" tint="-0.249977111117893"/>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theme="8" tint="0.59999389629810485"/>
        <bgColor indexed="64"/>
      </patternFill>
    </fill>
    <fill>
      <patternFill patternType="solid">
        <fgColor rgb="FF66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6600"/>
        <bgColor indexed="64"/>
      </patternFill>
    </fill>
    <fill>
      <patternFill patternType="solid">
        <fgColor rgb="FFFC6703"/>
        <bgColor indexed="64"/>
      </patternFill>
    </fill>
    <fill>
      <patternFill patternType="solid">
        <fgColor rgb="FFFEE4D2"/>
        <bgColor indexed="64"/>
      </patternFill>
    </fill>
    <fill>
      <patternFill patternType="solid">
        <fgColor rgb="FF0155B8"/>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0" fontId="14" fillId="7" borderId="0" applyNumberFormat="0" applyBorder="0" applyAlignment="0" applyProtection="0"/>
    <xf numFmtId="0" fontId="16" fillId="0" borderId="0"/>
    <xf numFmtId="0" fontId="16" fillId="0" borderId="0"/>
    <xf numFmtId="0" fontId="16" fillId="0" borderId="0"/>
    <xf numFmtId="0" fontId="27" fillId="0" borderId="0"/>
    <xf numFmtId="180" fontId="27" fillId="0" borderId="0" applyFont="0" applyFill="0" applyBorder="0" applyAlignment="0" applyProtection="0"/>
    <xf numFmtId="9" fontId="27" fillId="0" borderId="0" applyFont="0" applyFill="0" applyBorder="0" applyAlignment="0" applyProtection="0"/>
  </cellStyleXfs>
  <cellXfs count="451">
    <xf numFmtId="0" fontId="0" fillId="0" borderId="0" xfId="0"/>
    <xf numFmtId="0" fontId="0" fillId="0" borderId="0" xfId="0" applyAlignment="1">
      <alignment horizontal="center" vertical="center"/>
    </xf>
    <xf numFmtId="0" fontId="7" fillId="2" borderId="0" xfId="0" applyFont="1" applyFill="1" applyAlignment="1">
      <alignment horizontal="center" vertical="center"/>
    </xf>
    <xf numFmtId="0" fontId="0" fillId="0" borderId="1" xfId="0" applyBorder="1" applyAlignment="1">
      <alignment horizontal="center" vertical="center"/>
    </xf>
    <xf numFmtId="0" fontId="9" fillId="2" borderId="7" xfId="0" applyFont="1" applyFill="1" applyBorder="1" applyAlignment="1">
      <alignment horizontal="center" vertical="center"/>
    </xf>
    <xf numFmtId="0" fontId="2" fillId="0" borderId="7" xfId="0" applyFont="1" applyBorder="1" applyAlignment="1">
      <alignment horizontal="center" vertical="center"/>
    </xf>
    <xf numFmtId="0" fontId="3" fillId="2" borderId="0" xfId="0" applyFont="1" applyFill="1" applyAlignment="1">
      <alignment horizontal="center" vertical="center"/>
    </xf>
    <xf numFmtId="0" fontId="0" fillId="3" borderId="0" xfId="0" applyFill="1" applyAlignment="1">
      <alignment horizontal="center" vertical="center"/>
    </xf>
    <xf numFmtId="0" fontId="2" fillId="3" borderId="0" xfId="0" applyFont="1" applyFill="1" applyAlignment="1">
      <alignment horizontal="center" vertical="center"/>
    </xf>
    <xf numFmtId="0" fontId="0" fillId="4" borderId="0" xfId="0" applyFill="1" applyAlignment="1">
      <alignment horizontal="center" vertical="center"/>
    </xf>
    <xf numFmtId="0" fontId="0" fillId="5" borderId="0" xfId="0" applyFill="1" applyAlignment="1">
      <alignment horizontal="center" wrapText="1"/>
    </xf>
    <xf numFmtId="0" fontId="0" fillId="6" borderId="0" xfId="0" applyFill="1" applyAlignment="1">
      <alignment horizontal="center" wrapText="1"/>
    </xf>
    <xf numFmtId="0" fontId="0" fillId="9" borderId="0" xfId="0" applyFill="1"/>
    <xf numFmtId="0" fontId="0" fillId="9" borderId="0" xfId="0" applyFill="1" applyAlignment="1">
      <alignment horizontal="center" vertical="center"/>
    </xf>
    <xf numFmtId="9" fontId="0" fillId="9" borderId="0" xfId="0" applyNumberFormat="1" applyFill="1" applyAlignment="1">
      <alignment horizontal="center"/>
    </xf>
    <xf numFmtId="0" fontId="2" fillId="9" borderId="0" xfId="0" applyFont="1" applyFill="1" applyAlignment="1">
      <alignment horizontal="center" vertical="center"/>
    </xf>
    <xf numFmtId="9" fontId="2" fillId="9" borderId="0" xfId="0" applyNumberFormat="1" applyFont="1" applyFill="1" applyAlignment="1">
      <alignment horizontal="center" vertical="center"/>
    </xf>
    <xf numFmtId="0" fontId="14" fillId="7" borderId="0" xfId="1" applyAlignment="1">
      <alignment horizontal="left" wrapText="1" readingOrder="1"/>
    </xf>
    <xf numFmtId="9" fontId="17" fillId="9" borderId="0" xfId="0" applyNumberFormat="1" applyFont="1" applyFill="1" applyAlignment="1">
      <alignment horizontal="center" vertical="center"/>
    </xf>
    <xf numFmtId="0" fontId="18" fillId="9" borderId="0" xfId="0" applyFont="1" applyFill="1"/>
    <xf numFmtId="9" fontId="18" fillId="9" borderId="0" xfId="0" applyNumberFormat="1" applyFont="1" applyFill="1" applyAlignment="1">
      <alignment horizontal="left" vertical="center" wrapText="1"/>
    </xf>
    <xf numFmtId="9" fontId="18" fillId="9" borderId="0" xfId="0" applyNumberFormat="1" applyFont="1" applyFill="1" applyAlignment="1">
      <alignment horizontal="center" vertical="center"/>
    </xf>
    <xf numFmtId="10" fontId="18" fillId="9" borderId="0" xfId="0" applyNumberFormat="1" applyFont="1" applyFill="1" applyAlignment="1">
      <alignment horizontal="center" vertical="center"/>
    </xf>
    <xf numFmtId="0" fontId="0" fillId="9" borderId="0" xfId="0" applyFill="1" applyAlignment="1">
      <alignment horizontal="left" wrapText="1"/>
    </xf>
    <xf numFmtId="0" fontId="3" fillId="9" borderId="0" xfId="0" applyFont="1" applyFill="1" applyAlignment="1">
      <alignment horizontal="center" vertical="center"/>
    </xf>
    <xf numFmtId="165" fontId="8" fillId="9" borderId="0" xfId="0" applyNumberFormat="1" applyFont="1" applyFill="1" applyAlignment="1">
      <alignment horizontal="center" vertical="center"/>
    </xf>
    <xf numFmtId="165" fontId="11" fillId="9" borderId="0" xfId="0" applyNumberFormat="1" applyFont="1" applyFill="1" applyAlignment="1">
      <alignment horizontal="center" vertical="center" wrapText="1"/>
    </xf>
    <xf numFmtId="0" fontId="0" fillId="9" borderId="0" xfId="0" applyFill="1" applyAlignment="1">
      <alignment horizontal="center"/>
    </xf>
    <xf numFmtId="0" fontId="12" fillId="9" borderId="0" xfId="0" applyFont="1" applyFill="1"/>
    <xf numFmtId="0" fontId="10" fillId="9" borderId="0" xfId="0" applyFont="1" applyFill="1" applyAlignment="1">
      <alignment horizontal="left" readingOrder="1"/>
    </xf>
    <xf numFmtId="0" fontId="8" fillId="9" borderId="0" xfId="0" applyFont="1" applyFill="1" applyAlignment="1" applyProtection="1">
      <alignment horizontal="center" vertical="center"/>
      <protection locked="0"/>
    </xf>
    <xf numFmtId="0" fontId="10" fillId="9" borderId="0" xfId="0" applyFont="1" applyFill="1" applyAlignment="1">
      <alignment horizontal="center" wrapText="1" readingOrder="1"/>
    </xf>
    <xf numFmtId="0" fontId="10" fillId="9" borderId="0" xfId="0" applyFont="1" applyFill="1" applyAlignment="1">
      <alignment readingOrder="1"/>
    </xf>
    <xf numFmtId="165" fontId="19" fillId="2" borderId="1" xfId="0" applyNumberFormat="1" applyFont="1" applyFill="1" applyBorder="1" applyAlignment="1">
      <alignment horizontal="center" vertical="center"/>
    </xf>
    <xf numFmtId="166" fontId="19" fillId="2" borderId="7" xfId="0" applyNumberFormat="1" applyFont="1" applyFill="1" applyBorder="1" applyAlignment="1">
      <alignment horizontal="center" vertical="center"/>
    </xf>
    <xf numFmtId="166" fontId="20" fillId="2" borderId="7" xfId="0" applyNumberFormat="1" applyFont="1" applyFill="1" applyBorder="1" applyAlignment="1">
      <alignment horizontal="center" vertical="center"/>
    </xf>
    <xf numFmtId="165" fontId="20" fillId="2" borderId="0" xfId="0" applyNumberFormat="1" applyFont="1" applyFill="1" applyAlignment="1">
      <alignment horizontal="center" vertical="center" wrapText="1"/>
    </xf>
    <xf numFmtId="165" fontId="20" fillId="3" borderId="0" xfId="0" applyNumberFormat="1" applyFont="1" applyFill="1" applyAlignment="1">
      <alignment horizontal="center" vertical="center" wrapText="1"/>
    </xf>
    <xf numFmtId="165" fontId="20" fillId="8" borderId="0" xfId="0" applyNumberFormat="1" applyFont="1" applyFill="1" applyAlignment="1">
      <alignment horizontal="center" vertical="center" wrapText="1"/>
    </xf>
    <xf numFmtId="0" fontId="4" fillId="10" borderId="1" xfId="0" applyFont="1" applyFill="1" applyBorder="1" applyAlignment="1">
      <alignment horizontal="center" vertical="center"/>
    </xf>
    <xf numFmtId="0" fontId="22" fillId="10" borderId="1" xfId="0" applyFont="1" applyFill="1" applyBorder="1" applyAlignment="1">
      <alignment horizontal="center" vertical="center"/>
    </xf>
    <xf numFmtId="0" fontId="3" fillId="10" borderId="1" xfId="0" applyFont="1" applyFill="1" applyBorder="1" applyAlignment="1">
      <alignment horizontal="center" vertical="center"/>
    </xf>
    <xf numFmtId="0" fontId="1" fillId="10" borderId="7" xfId="0" applyFont="1" applyFill="1" applyBorder="1" applyAlignment="1">
      <alignment horizontal="center" vertical="center"/>
    </xf>
    <xf numFmtId="0" fontId="3" fillId="10" borderId="7" xfId="0" applyFont="1" applyFill="1" applyBorder="1" applyAlignment="1">
      <alignment horizontal="center" vertical="center"/>
    </xf>
    <xf numFmtId="0" fontId="0" fillId="13" borderId="0" xfId="0" applyFill="1"/>
    <xf numFmtId="0" fontId="28" fillId="3" borderId="7" xfId="0" applyFont="1" applyFill="1" applyBorder="1" applyAlignment="1">
      <alignment horizontal="center" vertical="center"/>
    </xf>
    <xf numFmtId="9" fontId="29" fillId="3"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3" fillId="15" borderId="1" xfId="0" applyFont="1" applyFill="1" applyBorder="1" applyAlignment="1">
      <alignment horizontal="center" vertical="center" wrapText="1"/>
    </xf>
    <xf numFmtId="165" fontId="7" fillId="2" borderId="7" xfId="0" applyNumberFormat="1" applyFont="1" applyFill="1" applyBorder="1" applyAlignment="1">
      <alignment horizontal="center" vertical="center"/>
    </xf>
    <xf numFmtId="0" fontId="0" fillId="0" borderId="2" xfId="0" applyBorder="1"/>
    <xf numFmtId="0" fontId="2" fillId="0" borderId="2" xfId="0" applyFont="1" applyBorder="1" applyAlignment="1">
      <alignment horizontal="center" vertical="center"/>
    </xf>
    <xf numFmtId="0" fontId="30" fillId="16" borderId="1" xfId="0" applyFont="1" applyFill="1" applyBorder="1" applyAlignment="1">
      <alignment horizontal="center" vertical="center"/>
    </xf>
    <xf numFmtId="0" fontId="31" fillId="16" borderId="1" xfId="0" applyFont="1" applyFill="1" applyBorder="1" applyAlignment="1">
      <alignment horizontal="left" vertical="center"/>
    </xf>
    <xf numFmtId="9" fontId="3" fillId="16" borderId="1" xfId="0" applyNumberFormat="1" applyFont="1" applyFill="1" applyBorder="1" applyAlignment="1">
      <alignment horizontal="center" vertical="center"/>
    </xf>
    <xf numFmtId="0" fontId="30" fillId="16" borderId="5" xfId="0" applyFont="1" applyFill="1" applyBorder="1" applyAlignment="1">
      <alignment horizontal="center" vertical="center"/>
    </xf>
    <xf numFmtId="0" fontId="31" fillId="16" borderId="5" xfId="0" applyFont="1" applyFill="1" applyBorder="1" applyAlignment="1">
      <alignment horizontal="left" vertical="center"/>
    </xf>
    <xf numFmtId="0" fontId="31" fillId="16" borderId="1" xfId="0" applyFont="1" applyFill="1" applyBorder="1" applyAlignment="1">
      <alignment horizontal="left" vertical="center" wrapText="1"/>
    </xf>
    <xf numFmtId="0" fontId="5" fillId="0" borderId="1" xfId="0" applyFont="1" applyBorder="1" applyAlignment="1">
      <alignment horizontal="center" vertical="center"/>
    </xf>
    <xf numFmtId="0" fontId="21" fillId="0" borderId="1" xfId="0" applyFont="1" applyBorder="1" applyAlignment="1">
      <alignment horizontal="center" vertical="center"/>
    </xf>
    <xf numFmtId="9" fontId="0" fillId="0" borderId="1" xfId="0" applyNumberFormat="1" applyBorder="1" applyAlignment="1">
      <alignment horizontal="center" vertical="center"/>
    </xf>
    <xf numFmtId="0" fontId="32" fillId="9" borderId="0" xfId="0" applyFont="1" applyFill="1"/>
    <xf numFmtId="165" fontId="6" fillId="0" borderId="1" xfId="0" applyNumberFormat="1" applyFont="1" applyBorder="1" applyAlignment="1" applyProtection="1">
      <alignment horizontal="center" vertical="center"/>
      <protection locked="0" hidden="1"/>
    </xf>
    <xf numFmtId="0" fontId="0" fillId="4" borderId="6" xfId="0" applyFill="1" applyBorder="1" applyAlignment="1" applyProtection="1">
      <alignment horizontal="center" vertical="center"/>
      <protection locked="0" hidden="1"/>
    </xf>
    <xf numFmtId="165" fontId="8" fillId="0" borderId="1" xfId="0" applyNumberFormat="1" applyFont="1" applyBorder="1" applyAlignment="1" applyProtection="1">
      <alignment horizontal="center" vertical="center"/>
      <protection locked="0" hidden="1"/>
    </xf>
    <xf numFmtId="167" fontId="8" fillId="3" borderId="1" xfId="0" applyNumberFormat="1" applyFont="1" applyFill="1" applyBorder="1" applyAlignment="1" applyProtection="1">
      <alignment horizontal="center" vertical="center"/>
      <protection locked="0" hidden="1"/>
    </xf>
    <xf numFmtId="165" fontId="8" fillId="0" borderId="7" xfId="0" applyNumberFormat="1" applyFont="1" applyBorder="1" applyAlignment="1" applyProtection="1">
      <alignment horizontal="center" vertical="center"/>
      <protection locked="0" hidden="1"/>
    </xf>
    <xf numFmtId="0" fontId="23" fillId="11" borderId="1" xfId="0" applyFont="1" applyFill="1" applyBorder="1" applyAlignment="1" applyProtection="1">
      <alignment horizontal="center" vertical="center"/>
      <protection locked="0" hidden="1"/>
    </xf>
    <xf numFmtId="0" fontId="2" fillId="19" borderId="1" xfId="0" applyFont="1" applyFill="1" applyBorder="1" applyAlignment="1">
      <alignment horizontal="center" vertical="center"/>
    </xf>
    <xf numFmtId="0" fontId="2" fillId="19" borderId="1" xfId="0" applyFont="1" applyFill="1" applyBorder="1" applyAlignment="1">
      <alignment horizontal="left" wrapText="1"/>
    </xf>
    <xf numFmtId="0" fontId="34" fillId="4" borderId="1" xfId="0" applyFont="1" applyFill="1" applyBorder="1" applyAlignment="1" applyProtection="1">
      <alignment horizontal="center" vertical="center"/>
      <protection locked="0" hidden="1"/>
    </xf>
    <xf numFmtId="0" fontId="37" fillId="13" borderId="0" xfId="5" applyFont="1" applyFill="1" applyAlignment="1">
      <alignment vertical="center"/>
    </xf>
    <xf numFmtId="0" fontId="38" fillId="13" borderId="0" xfId="5" applyFont="1" applyFill="1" applyAlignment="1">
      <alignment vertical="center"/>
    </xf>
    <xf numFmtId="4" fontId="39" fillId="13" borderId="0" xfId="5" applyNumberFormat="1" applyFont="1" applyFill="1" applyAlignment="1">
      <alignment horizontal="right" vertical="center"/>
    </xf>
    <xf numFmtId="0" fontId="39" fillId="13" borderId="1" xfId="5" applyFont="1" applyFill="1" applyBorder="1" applyAlignment="1">
      <alignment horizontal="center" vertical="center" wrapText="1" shrinkToFit="1"/>
    </xf>
    <xf numFmtId="0" fontId="40" fillId="13" borderId="0" xfId="5" applyFont="1" applyFill="1" applyAlignment="1">
      <alignment vertical="center"/>
    </xf>
    <xf numFmtId="0" fontId="41" fillId="13" borderId="0" xfId="5" applyFont="1" applyFill="1" applyAlignment="1">
      <alignment horizontal="center" vertical="center"/>
    </xf>
    <xf numFmtId="0" fontId="40" fillId="13" borderId="0" xfId="5" applyFont="1" applyFill="1"/>
    <xf numFmtId="1" fontId="40" fillId="13" borderId="0" xfId="5" applyNumberFormat="1" applyFont="1" applyFill="1"/>
    <xf numFmtId="1" fontId="40" fillId="13" borderId="0" xfId="5" applyNumberFormat="1" applyFont="1" applyFill="1" applyAlignment="1" applyProtection="1">
      <alignment vertical="center"/>
      <protection locked="0"/>
    </xf>
    <xf numFmtId="1" fontId="40" fillId="13" borderId="0" xfId="5" applyNumberFormat="1" applyFont="1" applyFill="1" applyAlignment="1">
      <alignment vertical="center"/>
    </xf>
    <xf numFmtId="10" fontId="40" fillId="13" borderId="0" xfId="5" applyNumberFormat="1" applyFont="1" applyFill="1" applyAlignment="1">
      <alignment vertical="center"/>
    </xf>
    <xf numFmtId="0" fontId="40" fillId="13" borderId="0" xfId="5" applyFont="1" applyFill="1" applyAlignment="1" applyProtection="1">
      <alignment vertical="center"/>
      <protection hidden="1"/>
    </xf>
    <xf numFmtId="0" fontId="42" fillId="13" borderId="0" xfId="5" applyFont="1" applyFill="1" applyAlignment="1" applyProtection="1">
      <alignment vertical="center"/>
      <protection hidden="1"/>
    </xf>
    <xf numFmtId="0" fontId="40" fillId="12" borderId="0" xfId="5" applyFont="1" applyFill="1" applyAlignment="1" applyProtection="1">
      <alignment vertical="center"/>
      <protection hidden="1"/>
    </xf>
    <xf numFmtId="0" fontId="40" fillId="0" borderId="0" xfId="5" applyFont="1" applyAlignment="1">
      <alignment vertical="center"/>
    </xf>
    <xf numFmtId="0" fontId="43" fillId="13" borderId="0" xfId="5" applyFont="1" applyFill="1" applyAlignment="1" applyProtection="1">
      <alignment vertical="center"/>
      <protection locked="0"/>
    </xf>
    <xf numFmtId="0" fontId="40" fillId="26" borderId="9" xfId="5" applyFont="1" applyFill="1" applyBorder="1" applyAlignment="1">
      <alignment vertical="center"/>
    </xf>
    <xf numFmtId="0" fontId="40" fillId="26" borderId="10" xfId="5" applyFont="1" applyFill="1" applyBorder="1" applyAlignment="1">
      <alignment vertical="center"/>
    </xf>
    <xf numFmtId="3" fontId="46" fillId="13" borderId="0" xfId="5" applyNumberFormat="1" applyFont="1" applyFill="1" applyAlignment="1">
      <alignment vertical="center"/>
    </xf>
    <xf numFmtId="168" fontId="39" fillId="13" borderId="0" xfId="5" applyNumberFormat="1" applyFont="1" applyFill="1" applyAlignment="1">
      <alignment horizontal="right" vertical="center"/>
    </xf>
    <xf numFmtId="4" fontId="44" fillId="13" borderId="1" xfId="5" applyNumberFormat="1" applyFont="1" applyFill="1" applyBorder="1" applyAlignment="1">
      <alignment vertical="center"/>
    </xf>
    <xf numFmtId="0" fontId="44" fillId="13" borderId="14" xfId="5" applyFont="1" applyFill="1" applyBorder="1" applyAlignment="1">
      <alignment horizontal="center" vertical="center"/>
    </xf>
    <xf numFmtId="169" fontId="44" fillId="13" borderId="15" xfId="5" applyNumberFormat="1" applyFont="1" applyFill="1" applyBorder="1" applyAlignment="1">
      <alignment vertical="center"/>
    </xf>
    <xf numFmtId="169" fontId="44" fillId="13" borderId="16" xfId="5" applyNumberFormat="1" applyFont="1" applyFill="1" applyBorder="1" applyAlignment="1">
      <alignment vertical="center"/>
    </xf>
    <xf numFmtId="4" fontId="47" fillId="13" borderId="17" xfId="5" applyNumberFormat="1" applyFont="1" applyFill="1" applyBorder="1" applyAlignment="1">
      <alignment horizontal="center" vertical="center"/>
    </xf>
    <xf numFmtId="4" fontId="47" fillId="13" borderId="2" xfId="5" applyNumberFormat="1" applyFont="1" applyFill="1" applyBorder="1" applyAlignment="1">
      <alignment horizontal="center" vertical="center"/>
    </xf>
    <xf numFmtId="4" fontId="47" fillId="13" borderId="18" xfId="5" applyNumberFormat="1" applyFont="1" applyFill="1" applyBorder="1" applyAlignment="1">
      <alignment horizontal="center" vertical="center"/>
    </xf>
    <xf numFmtId="170" fontId="40" fillId="13" borderId="0" xfId="5" applyNumberFormat="1" applyFont="1" applyFill="1" applyAlignment="1" applyProtection="1">
      <alignment vertical="center"/>
      <protection locked="0"/>
    </xf>
    <xf numFmtId="0" fontId="48" fillId="13" borderId="0" xfId="5" applyFont="1" applyFill="1" applyAlignment="1" applyProtection="1">
      <alignment vertical="center"/>
      <protection hidden="1"/>
    </xf>
    <xf numFmtId="3" fontId="46" fillId="22" borderId="23" xfId="5" applyNumberFormat="1" applyFont="1" applyFill="1" applyBorder="1" applyAlignment="1" applyProtection="1">
      <alignment vertical="center"/>
      <protection locked="0"/>
    </xf>
    <xf numFmtId="4" fontId="50" fillId="13" borderId="1" xfId="5" applyNumberFormat="1" applyFont="1" applyFill="1" applyBorder="1" applyAlignment="1">
      <alignment vertical="center"/>
    </xf>
    <xf numFmtId="0" fontId="44" fillId="13" borderId="21" xfId="5" applyFont="1" applyFill="1" applyBorder="1" applyAlignment="1">
      <alignment horizontal="right" vertical="center"/>
    </xf>
    <xf numFmtId="169" fontId="44" fillId="13" borderId="24" xfId="5" applyNumberFormat="1" applyFont="1" applyFill="1" applyBorder="1" applyAlignment="1">
      <alignment vertical="center"/>
    </xf>
    <xf numFmtId="169" fontId="44" fillId="13" borderId="25" xfId="5" applyNumberFormat="1" applyFont="1" applyFill="1" applyBorder="1" applyAlignment="1">
      <alignment vertical="center"/>
    </xf>
    <xf numFmtId="0" fontId="44" fillId="13" borderId="4" xfId="5" applyFont="1" applyFill="1" applyBorder="1" applyAlignment="1">
      <alignment vertical="center"/>
    </xf>
    <xf numFmtId="4" fontId="44" fillId="13" borderId="5" xfId="5" applyNumberFormat="1" applyFont="1" applyFill="1" applyBorder="1" applyAlignment="1">
      <alignment horizontal="center" vertical="center"/>
    </xf>
    <xf numFmtId="169" fontId="44" fillId="13" borderId="5" xfId="5" applyNumberFormat="1" applyFont="1" applyFill="1" applyBorder="1" applyAlignment="1">
      <alignment horizontal="center" vertical="center"/>
    </xf>
    <xf numFmtId="169" fontId="44" fillId="13" borderId="26" xfId="5" applyNumberFormat="1" applyFont="1" applyFill="1" applyBorder="1" applyAlignment="1">
      <alignment horizontal="center" vertical="center"/>
    </xf>
    <xf numFmtId="170" fontId="40" fillId="13" borderId="0" xfId="5" applyNumberFormat="1" applyFont="1" applyFill="1" applyAlignment="1">
      <alignment vertical="center"/>
    </xf>
    <xf numFmtId="0" fontId="52" fillId="25" borderId="21" xfId="5" applyFont="1" applyFill="1" applyBorder="1" applyAlignment="1">
      <alignment horizontal="right" vertical="center"/>
    </xf>
    <xf numFmtId="0" fontId="52" fillId="25" borderId="22" xfId="5" applyFont="1" applyFill="1" applyBorder="1" applyAlignment="1">
      <alignment horizontal="right" vertical="center"/>
    </xf>
    <xf numFmtId="0" fontId="53" fillId="25" borderId="22" xfId="5" applyFont="1" applyFill="1" applyBorder="1" applyAlignment="1">
      <alignment horizontal="right" vertical="center"/>
    </xf>
    <xf numFmtId="166" fontId="54" fillId="25" borderId="23" xfId="6" applyNumberFormat="1" applyFont="1" applyFill="1" applyBorder="1" applyAlignment="1" applyProtection="1">
      <alignment vertical="center"/>
      <protection locked="0"/>
    </xf>
    <xf numFmtId="0" fontId="39" fillId="13" borderId="2" xfId="5" applyFont="1" applyFill="1" applyBorder="1" applyAlignment="1">
      <alignment horizontal="center" vertical="center" wrapText="1" shrinkToFit="1"/>
    </xf>
    <xf numFmtId="4" fontId="44" fillId="13" borderId="27" xfId="5" applyNumberFormat="1" applyFont="1" applyFill="1" applyBorder="1" applyAlignment="1">
      <alignment vertical="center"/>
    </xf>
    <xf numFmtId="4" fontId="44" fillId="13" borderId="26" xfId="5" applyNumberFormat="1" applyFont="1" applyFill="1" applyBorder="1" applyAlignment="1">
      <alignment horizontal="center" vertical="center"/>
    </xf>
    <xf numFmtId="0" fontId="39" fillId="13" borderId="0" xfId="5" applyFont="1" applyFill="1" applyAlignment="1">
      <alignment vertical="center"/>
    </xf>
    <xf numFmtId="4" fontId="44" fillId="13" borderId="5" xfId="5" applyNumberFormat="1" applyFont="1" applyFill="1" applyBorder="1" applyAlignment="1">
      <alignment vertical="center"/>
    </xf>
    <xf numFmtId="0" fontId="50" fillId="13" borderId="7" xfId="5" applyFont="1" applyFill="1" applyBorder="1" applyAlignment="1">
      <alignment horizontal="center" vertical="center"/>
    </xf>
    <xf numFmtId="0" fontId="44" fillId="26" borderId="19" xfId="5" applyFont="1" applyFill="1" applyBorder="1" applyAlignment="1">
      <alignment vertical="center"/>
    </xf>
    <xf numFmtId="0" fontId="40" fillId="26" borderId="0" xfId="5" applyFont="1" applyFill="1" applyAlignment="1">
      <alignment vertical="center"/>
    </xf>
    <xf numFmtId="2" fontId="44" fillId="13" borderId="27" xfId="5" applyNumberFormat="1" applyFont="1" applyFill="1" applyBorder="1" applyAlignment="1">
      <alignment vertical="center"/>
    </xf>
    <xf numFmtId="168" fontId="44" fillId="13" borderId="24" xfId="5" applyNumberFormat="1" applyFont="1" applyFill="1" applyBorder="1" applyAlignment="1">
      <alignment vertical="center"/>
    </xf>
    <xf numFmtId="10" fontId="39" fillId="13" borderId="17" xfId="5" applyNumberFormat="1" applyFont="1" applyFill="1" applyBorder="1" applyAlignment="1">
      <alignment vertical="center"/>
    </xf>
    <xf numFmtId="10" fontId="40" fillId="13" borderId="3" xfId="5" applyNumberFormat="1" applyFont="1" applyFill="1" applyBorder="1" applyAlignment="1">
      <alignment vertical="center"/>
    </xf>
    <xf numFmtId="0" fontId="40" fillId="13" borderId="3" xfId="5" applyFont="1" applyFill="1" applyBorder="1" applyAlignment="1">
      <alignment vertical="center"/>
    </xf>
    <xf numFmtId="164" fontId="39" fillId="13" borderId="18" xfId="7" applyNumberFormat="1" applyFont="1" applyFill="1" applyBorder="1" applyAlignment="1" applyProtection="1">
      <alignment vertical="center"/>
    </xf>
    <xf numFmtId="168" fontId="39" fillId="13" borderId="0" xfId="5" applyNumberFormat="1" applyFont="1" applyFill="1" applyAlignment="1">
      <alignment vertical="center"/>
    </xf>
    <xf numFmtId="8" fontId="57" fillId="13" borderId="7" xfId="5" applyNumberFormat="1" applyFont="1" applyFill="1" applyBorder="1" applyAlignment="1">
      <alignment vertical="center"/>
    </xf>
    <xf numFmtId="0" fontId="40" fillId="26" borderId="19" xfId="5" applyFont="1" applyFill="1" applyBorder="1" applyAlignment="1">
      <alignment vertical="center"/>
    </xf>
    <xf numFmtId="172" fontId="50" fillId="13" borderId="5" xfId="5" applyNumberFormat="1" applyFont="1" applyFill="1" applyBorder="1" applyAlignment="1">
      <alignment vertical="center"/>
    </xf>
    <xf numFmtId="0" fontId="44" fillId="13" borderId="21" xfId="5" applyFont="1" applyFill="1" applyBorder="1" applyAlignment="1">
      <alignment horizontal="center" vertical="center"/>
    </xf>
    <xf numFmtId="4" fontId="47" fillId="13" borderId="27" xfId="5" applyNumberFormat="1" applyFont="1" applyFill="1" applyBorder="1" applyAlignment="1">
      <alignment horizontal="center" vertical="center"/>
    </xf>
    <xf numFmtId="10" fontId="39" fillId="13" borderId="4" xfId="5" applyNumberFormat="1" applyFont="1" applyFill="1" applyBorder="1" applyAlignment="1">
      <alignment vertical="center"/>
    </xf>
    <xf numFmtId="164" fontId="39" fillId="13" borderId="20" xfId="7" applyNumberFormat="1" applyFont="1" applyFill="1" applyBorder="1" applyAlignment="1" applyProtection="1">
      <alignment vertical="center"/>
    </xf>
    <xf numFmtId="0" fontId="50" fillId="13" borderId="29" xfId="5" applyFont="1" applyFill="1" applyBorder="1" applyAlignment="1">
      <alignment vertical="center"/>
    </xf>
    <xf numFmtId="0" fontId="58" fillId="13" borderId="12" xfId="5" applyFont="1" applyFill="1" applyBorder="1" applyAlignment="1">
      <alignment vertical="center"/>
    </xf>
    <xf numFmtId="173" fontId="50" fillId="13" borderId="12" xfId="5" applyNumberFormat="1" applyFont="1" applyFill="1" applyBorder="1" applyAlignment="1">
      <alignment vertical="center"/>
    </xf>
    <xf numFmtId="0" fontId="58" fillId="13" borderId="30" xfId="5" applyFont="1" applyFill="1" applyBorder="1" applyAlignment="1">
      <alignment vertical="center"/>
    </xf>
    <xf numFmtId="173" fontId="50" fillId="13" borderId="31" xfId="5" applyNumberFormat="1" applyFont="1" applyFill="1" applyBorder="1" applyAlignment="1">
      <alignment vertical="center"/>
    </xf>
    <xf numFmtId="4" fontId="39" fillId="13" borderId="2" xfId="5" applyNumberFormat="1" applyFont="1" applyFill="1" applyBorder="1" applyAlignment="1">
      <alignment horizontal="center" vertical="center"/>
    </xf>
    <xf numFmtId="0" fontId="44" fillId="13" borderId="32" xfId="5" applyFont="1" applyFill="1" applyBorder="1" applyAlignment="1">
      <alignment vertical="center"/>
    </xf>
    <xf numFmtId="4" fontId="59" fillId="13" borderId="5" xfId="5" applyNumberFormat="1" applyFont="1" applyFill="1" applyBorder="1" applyAlignment="1">
      <alignment horizontal="center" vertical="center"/>
    </xf>
    <xf numFmtId="2" fontId="44" fillId="13" borderId="5" xfId="5" applyNumberFormat="1" applyFont="1" applyFill="1" applyBorder="1" applyAlignment="1">
      <alignment horizontal="center" vertical="center"/>
    </xf>
    <xf numFmtId="0" fontId="50" fillId="13" borderId="33" xfId="5" applyFont="1" applyFill="1" applyBorder="1" applyAlignment="1">
      <alignment vertical="center"/>
    </xf>
    <xf numFmtId="0" fontId="58" fillId="13" borderId="34" xfId="5" applyFont="1" applyFill="1" applyBorder="1" applyAlignment="1">
      <alignment vertical="center"/>
    </xf>
    <xf numFmtId="173" fontId="50" fillId="13" borderId="34" xfId="5" applyNumberFormat="1" applyFont="1" applyFill="1" applyBorder="1" applyAlignment="1">
      <alignment vertical="center"/>
    </xf>
    <xf numFmtId="0" fontId="58" fillId="13" borderId="35" xfId="5" applyFont="1" applyFill="1" applyBorder="1" applyAlignment="1">
      <alignment vertical="center"/>
    </xf>
    <xf numFmtId="173" fontId="50" fillId="13" borderId="36" xfId="5" applyNumberFormat="1" applyFont="1" applyFill="1" applyBorder="1" applyAlignment="1">
      <alignment vertical="center"/>
    </xf>
    <xf numFmtId="4" fontId="39" fillId="13" borderId="5" xfId="5" applyNumberFormat="1" applyFont="1" applyFill="1" applyBorder="1" applyAlignment="1">
      <alignment horizontal="center" vertical="center"/>
    </xf>
    <xf numFmtId="169" fontId="44" fillId="13" borderId="24" xfId="5" quotePrefix="1" applyNumberFormat="1" applyFont="1" applyFill="1" applyBorder="1" applyAlignment="1">
      <alignment vertical="center"/>
    </xf>
    <xf numFmtId="0" fontId="47" fillId="13" borderId="27" xfId="5" applyFont="1" applyFill="1" applyBorder="1" applyAlignment="1">
      <alignment horizontal="center" vertical="center"/>
    </xf>
    <xf numFmtId="0" fontId="39" fillId="13" borderId="2" xfId="5" applyFont="1" applyFill="1" applyBorder="1" applyAlignment="1">
      <alignment horizontal="center" vertical="center"/>
    </xf>
    <xf numFmtId="175" fontId="44" fillId="13" borderId="5" xfId="7" applyNumberFormat="1" applyFont="1" applyFill="1" applyBorder="1" applyAlignment="1" applyProtection="1">
      <alignment horizontal="center" vertical="center"/>
    </xf>
    <xf numFmtId="0" fontId="44" fillId="20" borderId="21" xfId="5" applyFont="1" applyFill="1" applyBorder="1" applyAlignment="1">
      <alignment horizontal="right" vertical="center"/>
    </xf>
    <xf numFmtId="0" fontId="44" fillId="20" borderId="22" xfId="5" applyFont="1" applyFill="1" applyBorder="1" applyAlignment="1">
      <alignment horizontal="right" vertical="center"/>
    </xf>
    <xf numFmtId="0" fontId="55" fillId="20" borderId="22" xfId="5" applyFont="1" applyFill="1" applyBorder="1" applyAlignment="1">
      <alignment horizontal="right" vertical="center"/>
    </xf>
    <xf numFmtId="4" fontId="39" fillId="13" borderId="27" xfId="5" applyNumberFormat="1" applyFont="1" applyFill="1" applyBorder="1" applyAlignment="1">
      <alignment horizontal="center" vertical="center"/>
    </xf>
    <xf numFmtId="0" fontId="62" fillId="13" borderId="0" xfId="5" applyFont="1" applyFill="1" applyAlignment="1" applyProtection="1">
      <alignment vertical="center"/>
      <protection hidden="1"/>
    </xf>
    <xf numFmtId="2" fontId="39" fillId="13" borderId="5" xfId="5" applyNumberFormat="1" applyFont="1" applyFill="1" applyBorder="1" applyAlignment="1">
      <alignment horizontal="center" vertical="center"/>
    </xf>
    <xf numFmtId="168" fontId="39" fillId="13" borderId="27" xfId="5" applyNumberFormat="1" applyFont="1" applyFill="1" applyBorder="1" applyAlignment="1">
      <alignment horizontal="center" vertical="center"/>
    </xf>
    <xf numFmtId="0" fontId="37" fillId="13" borderId="0" xfId="5" applyFont="1" applyFill="1" applyAlignment="1" applyProtection="1">
      <alignment vertical="center"/>
      <protection locked="0"/>
    </xf>
    <xf numFmtId="4" fontId="63" fillId="13" borderId="2" xfId="5" applyNumberFormat="1" applyFont="1" applyFill="1" applyBorder="1" applyAlignment="1">
      <alignment horizontal="center" vertical="center"/>
    </xf>
    <xf numFmtId="0" fontId="64" fillId="13" borderId="0" xfId="5" applyFont="1" applyFill="1" applyAlignment="1" applyProtection="1">
      <alignment vertical="center"/>
      <protection hidden="1"/>
    </xf>
    <xf numFmtId="0" fontId="65" fillId="13" borderId="0" xfId="5" applyFont="1" applyFill="1" applyAlignment="1" applyProtection="1">
      <alignment vertical="center"/>
      <protection hidden="1"/>
    </xf>
    <xf numFmtId="10" fontId="39" fillId="13" borderId="5" xfId="7" applyNumberFormat="1" applyFont="1" applyFill="1" applyBorder="1" applyAlignment="1" applyProtection="1">
      <alignment horizontal="center" vertical="center"/>
    </xf>
    <xf numFmtId="4" fontId="63" fillId="13" borderId="5" xfId="5" applyNumberFormat="1" applyFont="1" applyFill="1" applyBorder="1" applyAlignment="1">
      <alignment horizontal="center" vertical="center"/>
    </xf>
    <xf numFmtId="0" fontId="45" fillId="20" borderId="22" xfId="5" applyFont="1" applyFill="1" applyBorder="1" applyAlignment="1">
      <alignment horizontal="right" vertical="center"/>
    </xf>
    <xf numFmtId="2" fontId="67" fillId="13" borderId="1" xfId="5" applyNumberFormat="1" applyFont="1" applyFill="1" applyBorder="1" applyAlignment="1">
      <alignment vertical="center"/>
    </xf>
    <xf numFmtId="0" fontId="44" fillId="13" borderId="0" xfId="5" applyFont="1" applyFill="1" applyAlignment="1">
      <alignment vertical="center"/>
    </xf>
    <xf numFmtId="166" fontId="46" fillId="22" borderId="23" xfId="5" applyNumberFormat="1" applyFont="1" applyFill="1" applyBorder="1" applyAlignment="1" applyProtection="1">
      <alignment vertical="center"/>
      <protection hidden="1"/>
    </xf>
    <xf numFmtId="168" fontId="40" fillId="13" borderId="0" xfId="5" applyNumberFormat="1" applyFont="1" applyFill="1" applyAlignment="1">
      <alignment vertical="center"/>
    </xf>
    <xf numFmtId="0" fontId="40" fillId="13" borderId="32" xfId="5" applyFont="1" applyFill="1" applyBorder="1" applyAlignment="1">
      <alignment horizontal="center" vertical="center"/>
    </xf>
    <xf numFmtId="169" fontId="67" fillId="13" borderId="42" xfId="5" applyNumberFormat="1" applyFont="1" applyFill="1" applyBorder="1" applyAlignment="1">
      <alignment vertical="center"/>
    </xf>
    <xf numFmtId="169" fontId="68" fillId="13" borderId="43" xfId="5" applyNumberFormat="1" applyFont="1" applyFill="1" applyBorder="1" applyAlignment="1">
      <alignment vertical="center"/>
    </xf>
    <xf numFmtId="0" fontId="44" fillId="13" borderId="5" xfId="5" applyFont="1" applyFill="1" applyBorder="1" applyAlignment="1">
      <alignment vertical="center"/>
    </xf>
    <xf numFmtId="176" fontId="39" fillId="13" borderId="5" xfId="5" applyNumberFormat="1" applyFont="1" applyFill="1" applyBorder="1" applyAlignment="1">
      <alignment horizontal="center" vertical="center"/>
    </xf>
    <xf numFmtId="0" fontId="44" fillId="13" borderId="0" xfId="5" applyFont="1" applyFill="1"/>
    <xf numFmtId="10" fontId="39" fillId="13" borderId="32" xfId="5" applyNumberFormat="1" applyFont="1" applyFill="1" applyBorder="1" applyAlignment="1">
      <alignment vertical="center"/>
    </xf>
    <xf numFmtId="10" fontId="40" fillId="13" borderId="44" xfId="5" applyNumberFormat="1" applyFont="1" applyFill="1" applyBorder="1" applyAlignment="1">
      <alignment vertical="center"/>
    </xf>
    <xf numFmtId="0" fontId="40" fillId="13" borderId="44" xfId="5" applyFont="1" applyFill="1" applyBorder="1" applyAlignment="1">
      <alignment vertical="center"/>
    </xf>
    <xf numFmtId="164" fontId="39" fillId="13" borderId="26" xfId="7" applyNumberFormat="1" applyFont="1" applyFill="1" applyBorder="1" applyAlignment="1" applyProtection="1">
      <alignment vertical="center"/>
    </xf>
    <xf numFmtId="177" fontId="46" fillId="22" borderId="23" xfId="5" applyNumberFormat="1" applyFont="1" applyFill="1" applyBorder="1" applyAlignment="1" applyProtection="1">
      <alignment vertical="center"/>
      <protection locked="0"/>
    </xf>
    <xf numFmtId="0" fontId="39" fillId="13" borderId="27" xfId="5" applyFont="1" applyFill="1" applyBorder="1" applyAlignment="1">
      <alignment horizontal="center" vertical="center"/>
    </xf>
    <xf numFmtId="10" fontId="39" fillId="13" borderId="0" xfId="5" applyNumberFormat="1" applyFont="1" applyFill="1" applyAlignment="1">
      <alignment vertical="center"/>
    </xf>
    <xf numFmtId="164" fontId="39" fillId="13" borderId="0" xfId="7" applyNumberFormat="1" applyFont="1" applyFill="1" applyBorder="1" applyAlignment="1" applyProtection="1">
      <alignment vertical="center"/>
    </xf>
    <xf numFmtId="0" fontId="69" fillId="13" borderId="0" xfId="5" applyFont="1" applyFill="1" applyAlignment="1">
      <alignment horizontal="right" vertical="center"/>
    </xf>
    <xf numFmtId="4" fontId="69" fillId="13" borderId="0" xfId="5" applyNumberFormat="1" applyFont="1" applyFill="1" applyAlignment="1">
      <alignment vertical="center"/>
    </xf>
    <xf numFmtId="10" fontId="40" fillId="13" borderId="0" xfId="5" applyNumberFormat="1" applyFont="1" applyFill="1"/>
    <xf numFmtId="0" fontId="44" fillId="13" borderId="0" xfId="5" applyFont="1" applyFill="1" applyAlignment="1">
      <alignment horizontal="center" vertical="center"/>
    </xf>
    <xf numFmtId="164" fontId="40" fillId="13" borderId="0" xfId="5" applyNumberFormat="1" applyFont="1" applyFill="1" applyAlignment="1">
      <alignment vertical="center"/>
    </xf>
    <xf numFmtId="0" fontId="70" fillId="13" borderId="0" xfId="5" applyFont="1" applyFill="1" applyAlignment="1">
      <alignment vertical="center"/>
    </xf>
    <xf numFmtId="0" fontId="50" fillId="13" borderId="0" xfId="5" applyFont="1" applyFill="1" applyAlignment="1">
      <alignment vertical="center"/>
    </xf>
    <xf numFmtId="10" fontId="71" fillId="13" borderId="0" xfId="5" applyNumberFormat="1" applyFont="1" applyFill="1" applyAlignment="1">
      <alignment vertical="center"/>
    </xf>
    <xf numFmtId="0" fontId="40" fillId="20" borderId="19" xfId="5" applyFont="1" applyFill="1" applyBorder="1" applyAlignment="1">
      <alignment vertical="center"/>
    </xf>
    <xf numFmtId="0" fontId="40" fillId="20" borderId="0" xfId="5" applyFont="1" applyFill="1" applyAlignment="1">
      <alignment vertical="center"/>
    </xf>
    <xf numFmtId="166" fontId="40" fillId="20" borderId="23" xfId="5" applyNumberFormat="1" applyFont="1" applyFill="1" applyBorder="1" applyAlignment="1" applyProtection="1">
      <alignment vertical="center"/>
      <protection locked="0"/>
    </xf>
    <xf numFmtId="0" fontId="58" fillId="13" borderId="0" xfId="5" applyFont="1" applyFill="1" applyAlignment="1">
      <alignment vertical="center"/>
    </xf>
    <xf numFmtId="173" fontId="44" fillId="13" borderId="0" xfId="5" applyNumberFormat="1" applyFont="1" applyFill="1" applyAlignment="1">
      <alignment horizontal="left" vertical="center"/>
    </xf>
    <xf numFmtId="3" fontId="46" fillId="13" borderId="0" xfId="5" applyNumberFormat="1" applyFont="1" applyFill="1" applyAlignment="1">
      <alignment horizontal="center" vertical="center"/>
    </xf>
    <xf numFmtId="0" fontId="46" fillId="13" borderId="0" xfId="5" applyFont="1" applyFill="1" applyAlignment="1">
      <alignment horizontal="center" vertical="center"/>
    </xf>
    <xf numFmtId="10" fontId="46" fillId="13" borderId="0" xfId="5" applyNumberFormat="1" applyFont="1" applyFill="1" applyAlignment="1">
      <alignment horizontal="right" vertical="center"/>
    </xf>
    <xf numFmtId="4" fontId="40" fillId="13" borderId="0" xfId="5" applyNumberFormat="1" applyFont="1" applyFill="1" applyAlignment="1">
      <alignment vertical="center"/>
    </xf>
    <xf numFmtId="164" fontId="40" fillId="13" borderId="0" xfId="7" applyNumberFormat="1" applyFont="1" applyFill="1" applyAlignment="1">
      <alignment vertical="center"/>
    </xf>
    <xf numFmtId="10" fontId="40" fillId="13" borderId="0" xfId="7" applyNumberFormat="1" applyFont="1" applyFill="1" applyAlignment="1">
      <alignment vertical="center"/>
    </xf>
    <xf numFmtId="164" fontId="44" fillId="13" borderId="0" xfId="5" applyNumberFormat="1" applyFont="1" applyFill="1"/>
    <xf numFmtId="164" fontId="40" fillId="13" borderId="0" xfId="7" applyNumberFormat="1" applyFont="1" applyFill="1"/>
    <xf numFmtId="0" fontId="40" fillId="20" borderId="39" xfId="5" applyFont="1" applyFill="1" applyBorder="1" applyAlignment="1">
      <alignment vertical="center"/>
    </xf>
    <xf numFmtId="0" fontId="72" fillId="20" borderId="8" xfId="5" applyFont="1" applyFill="1" applyBorder="1" applyAlignment="1">
      <alignment horizontal="center" vertical="center"/>
    </xf>
    <xf numFmtId="0" fontId="72" fillId="20" borderId="8" xfId="5" applyFont="1" applyFill="1" applyBorder="1" applyAlignment="1">
      <alignment horizontal="right" vertical="center"/>
    </xf>
    <xf numFmtId="173" fontId="44" fillId="13" borderId="0" xfId="5" applyNumberFormat="1" applyFont="1" applyFill="1" applyAlignment="1">
      <alignment vertical="center"/>
    </xf>
    <xf numFmtId="0" fontId="73" fillId="13" borderId="0" xfId="5" applyFont="1" applyFill="1" applyAlignment="1">
      <alignment vertical="center"/>
    </xf>
    <xf numFmtId="0" fontId="50" fillId="21" borderId="49" xfId="5" applyFont="1" applyFill="1" applyBorder="1" applyAlignment="1">
      <alignment horizontal="left" vertical="center"/>
    </xf>
    <xf numFmtId="0" fontId="50" fillId="21" borderId="46" xfId="5" applyFont="1" applyFill="1" applyBorder="1" applyAlignment="1">
      <alignment vertical="center"/>
    </xf>
    <xf numFmtId="166" fontId="50" fillId="21" borderId="45" xfId="5" applyNumberFormat="1" applyFont="1" applyFill="1" applyBorder="1" applyAlignment="1">
      <alignment horizontal="right" vertical="center"/>
    </xf>
    <xf numFmtId="173" fontId="50" fillId="21" borderId="50" xfId="5" applyNumberFormat="1" applyFont="1" applyFill="1" applyBorder="1" applyAlignment="1">
      <alignment vertical="center"/>
    </xf>
    <xf numFmtId="0" fontId="50" fillId="21" borderId="34" xfId="5" applyFont="1" applyFill="1" applyBorder="1" applyAlignment="1">
      <alignment vertical="center"/>
    </xf>
    <xf numFmtId="0" fontId="50" fillId="21" borderId="49" xfId="5" applyFont="1" applyFill="1" applyBorder="1" applyAlignment="1">
      <alignment vertical="center"/>
    </xf>
    <xf numFmtId="166" fontId="50" fillId="21" borderId="50" xfId="5" applyNumberFormat="1" applyFont="1" applyFill="1" applyBorder="1" applyAlignment="1">
      <alignment vertical="center"/>
    </xf>
    <xf numFmtId="10" fontId="74" fillId="21" borderId="50" xfId="7" applyNumberFormat="1" applyFont="1" applyFill="1" applyBorder="1" applyAlignment="1" applyProtection="1">
      <alignment vertical="center"/>
    </xf>
    <xf numFmtId="0" fontId="50" fillId="21" borderId="50" xfId="5" applyFont="1" applyFill="1" applyBorder="1" applyAlignment="1">
      <alignment vertical="center"/>
    </xf>
    <xf numFmtId="178" fontId="50" fillId="21" borderId="51" xfId="5" applyNumberFormat="1" applyFont="1" applyFill="1" applyBorder="1" applyAlignment="1">
      <alignment vertical="center"/>
    </xf>
    <xf numFmtId="1" fontId="74" fillId="21" borderId="50" xfId="7" applyNumberFormat="1" applyFont="1" applyFill="1" applyBorder="1" applyAlignment="1" applyProtection="1">
      <alignment horizontal="center" vertical="center"/>
    </xf>
    <xf numFmtId="0" fontId="50" fillId="23" borderId="33" xfId="5" applyFont="1" applyFill="1" applyBorder="1" applyAlignment="1">
      <alignment vertical="center"/>
    </xf>
    <xf numFmtId="0" fontId="50" fillId="23" borderId="34" xfId="5" applyFont="1" applyFill="1" applyBorder="1" applyAlignment="1">
      <alignment vertical="center"/>
    </xf>
    <xf numFmtId="166" fontId="50" fillId="21" borderId="52" xfId="5" applyNumberFormat="1" applyFont="1" applyFill="1" applyBorder="1" applyAlignment="1">
      <alignment vertical="center"/>
    </xf>
    <xf numFmtId="1" fontId="74" fillId="21" borderId="53" xfId="7" applyNumberFormat="1" applyFont="1" applyFill="1" applyBorder="1" applyAlignment="1" applyProtection="1">
      <alignment horizontal="center" vertical="center"/>
    </xf>
    <xf numFmtId="0" fontId="50" fillId="21" borderId="53" xfId="5" applyFont="1" applyFill="1" applyBorder="1" applyAlignment="1">
      <alignment vertical="center"/>
    </xf>
    <xf numFmtId="178" fontId="50" fillId="21" borderId="54" xfId="5" applyNumberFormat="1" applyFont="1" applyFill="1" applyBorder="1" applyAlignment="1">
      <alignment vertical="center"/>
    </xf>
    <xf numFmtId="10" fontId="40" fillId="13" borderId="0" xfId="7" applyNumberFormat="1" applyFont="1" applyFill="1" applyAlignment="1" applyProtection="1">
      <alignment vertical="center"/>
      <protection hidden="1"/>
    </xf>
    <xf numFmtId="0" fontId="50" fillId="23" borderId="8" xfId="5" applyFont="1" applyFill="1" applyBorder="1" applyAlignment="1">
      <alignment vertical="center"/>
    </xf>
    <xf numFmtId="166" fontId="50" fillId="23" borderId="8" xfId="5" applyNumberFormat="1" applyFont="1" applyFill="1" applyBorder="1" applyAlignment="1">
      <alignment vertical="center"/>
    </xf>
    <xf numFmtId="1" fontId="74" fillId="23" borderId="8" xfId="7" applyNumberFormat="1" applyFont="1" applyFill="1" applyBorder="1" applyAlignment="1" applyProtection="1">
      <alignment horizontal="center" vertical="center"/>
    </xf>
    <xf numFmtId="178" fontId="50" fillId="23" borderId="8" xfId="5" applyNumberFormat="1" applyFont="1" applyFill="1" applyBorder="1" applyAlignment="1">
      <alignment vertical="center"/>
    </xf>
    <xf numFmtId="0" fontId="37" fillId="13" borderId="0" xfId="0" applyFont="1" applyFill="1"/>
    <xf numFmtId="0" fontId="75" fillId="14" borderId="0" xfId="5" applyFont="1" applyFill="1"/>
    <xf numFmtId="0" fontId="40" fillId="14" borderId="0" xfId="5" applyFont="1" applyFill="1"/>
    <xf numFmtId="0" fontId="40" fillId="14" borderId="0" xfId="5" applyFont="1" applyFill="1" applyAlignment="1">
      <alignment vertical="center"/>
    </xf>
    <xf numFmtId="173" fontId="40" fillId="14" borderId="0" xfId="5" applyNumberFormat="1" applyFont="1" applyFill="1" applyAlignment="1">
      <alignment vertical="center"/>
    </xf>
    <xf numFmtId="164" fontId="40" fillId="13" borderId="60" xfId="7" applyNumberFormat="1" applyFont="1" applyFill="1" applyBorder="1" applyAlignment="1">
      <alignment vertical="center"/>
    </xf>
    <xf numFmtId="164" fontId="40" fillId="13" borderId="61" xfId="7" applyNumberFormat="1" applyFont="1" applyFill="1" applyBorder="1" applyAlignment="1">
      <alignment vertical="center"/>
    </xf>
    <xf numFmtId="164" fontId="40" fillId="13" borderId="62" xfId="7" applyNumberFormat="1" applyFont="1" applyFill="1" applyBorder="1" applyAlignment="1">
      <alignment vertical="center"/>
    </xf>
    <xf numFmtId="10" fontId="40" fillId="13" borderId="1" xfId="5" applyNumberFormat="1" applyFont="1" applyFill="1" applyBorder="1" applyAlignment="1">
      <alignment vertical="center"/>
    </xf>
    <xf numFmtId="0" fontId="76" fillId="0" borderId="0" xfId="0" applyFont="1"/>
    <xf numFmtId="0" fontId="72" fillId="14" borderId="0" xfId="5" applyFont="1" applyFill="1" applyAlignment="1">
      <alignment vertical="center"/>
    </xf>
    <xf numFmtId="164" fontId="44" fillId="13" borderId="0" xfId="7" applyNumberFormat="1" applyFont="1" applyFill="1" applyBorder="1"/>
    <xf numFmtId="0" fontId="76" fillId="13" borderId="0" xfId="0" applyFont="1" applyFill="1"/>
    <xf numFmtId="168" fontId="40" fillId="12" borderId="0" xfId="5" applyNumberFormat="1" applyFont="1" applyFill="1" applyAlignment="1">
      <alignment vertical="center"/>
    </xf>
    <xf numFmtId="0" fontId="40" fillId="12" borderId="0" xfId="5" applyFont="1" applyFill="1" applyAlignment="1">
      <alignment vertical="center"/>
    </xf>
    <xf numFmtId="4" fontId="40" fillId="12" borderId="0" xfId="5" applyNumberFormat="1" applyFont="1" applyFill="1" applyAlignment="1">
      <alignment vertical="center"/>
    </xf>
    <xf numFmtId="164" fontId="40" fillId="12" borderId="0" xfId="7" applyNumberFormat="1" applyFont="1" applyFill="1" applyAlignment="1">
      <alignment vertical="center"/>
    </xf>
    <xf numFmtId="164" fontId="40" fillId="12" borderId="0" xfId="7" applyNumberFormat="1" applyFont="1" applyFill="1"/>
    <xf numFmtId="10" fontId="40" fillId="12" borderId="0" xfId="5" applyNumberFormat="1" applyFont="1" applyFill="1" applyAlignment="1">
      <alignment vertical="center"/>
    </xf>
    <xf numFmtId="10" fontId="40" fillId="12" borderId="0" xfId="7" applyNumberFormat="1" applyFont="1" applyFill="1" applyAlignment="1">
      <alignment vertical="center"/>
    </xf>
    <xf numFmtId="164" fontId="44" fillId="12" borderId="0" xfId="7" applyNumberFormat="1" applyFont="1" applyFill="1" applyBorder="1"/>
    <xf numFmtId="0" fontId="76" fillId="14" borderId="0" xfId="0" applyFont="1" applyFill="1"/>
    <xf numFmtId="10" fontId="40" fillId="12" borderId="60" xfId="5" applyNumberFormat="1" applyFont="1" applyFill="1" applyBorder="1" applyAlignment="1">
      <alignment vertical="center"/>
    </xf>
    <xf numFmtId="10" fontId="40" fillId="12" borderId="61" xfId="5" applyNumberFormat="1" applyFont="1" applyFill="1" applyBorder="1" applyAlignment="1">
      <alignment vertical="center"/>
    </xf>
    <xf numFmtId="10" fontId="40" fillId="12" borderId="62" xfId="5" applyNumberFormat="1" applyFont="1" applyFill="1" applyBorder="1" applyAlignment="1">
      <alignment vertical="center"/>
    </xf>
    <xf numFmtId="10" fontId="40" fillId="12" borderId="1" xfId="5" applyNumberFormat="1" applyFont="1" applyFill="1" applyBorder="1" applyAlignment="1">
      <alignment vertical="center"/>
    </xf>
    <xf numFmtId="0" fontId="40" fillId="12" borderId="0" xfId="5" applyFont="1" applyFill="1"/>
    <xf numFmtId="0" fontId="77" fillId="12" borderId="0" xfId="5" applyFont="1" applyFill="1" applyAlignment="1">
      <alignment vertical="center"/>
    </xf>
    <xf numFmtId="0" fontId="70" fillId="12" borderId="0" xfId="5" applyFont="1" applyFill="1" applyAlignment="1">
      <alignment vertical="center"/>
    </xf>
    <xf numFmtId="0" fontId="50" fillId="12" borderId="0" xfId="5" applyFont="1" applyFill="1" applyAlignment="1">
      <alignment vertical="center"/>
    </xf>
    <xf numFmtId="10" fontId="71" fillId="12" borderId="0" xfId="5" applyNumberFormat="1" applyFont="1" applyFill="1" applyAlignment="1">
      <alignment vertical="center"/>
    </xf>
    <xf numFmtId="0" fontId="58" fillId="12" borderId="0" xfId="5" applyFont="1" applyFill="1" applyAlignment="1">
      <alignment vertical="center"/>
    </xf>
    <xf numFmtId="3" fontId="46" fillId="12" borderId="0" xfId="5" applyNumberFormat="1" applyFont="1" applyFill="1" applyAlignment="1">
      <alignment horizontal="center" vertical="center"/>
    </xf>
    <xf numFmtId="0" fontId="46" fillId="12" borderId="0" xfId="5" applyFont="1" applyFill="1" applyAlignment="1">
      <alignment horizontal="center" vertical="center"/>
    </xf>
    <xf numFmtId="10" fontId="46" fillId="12" borderId="0" xfId="5" applyNumberFormat="1" applyFont="1" applyFill="1" applyAlignment="1">
      <alignment horizontal="right" vertical="center"/>
    </xf>
    <xf numFmtId="164" fontId="44" fillId="12" borderId="0" xfId="5" applyNumberFormat="1" applyFont="1" applyFill="1"/>
    <xf numFmtId="0" fontId="76" fillId="9" borderId="0" xfId="0" applyFont="1" applyFill="1"/>
    <xf numFmtId="0" fontId="78" fillId="12" borderId="0" xfId="5" applyFont="1" applyFill="1" applyAlignment="1">
      <alignment vertical="center"/>
    </xf>
    <xf numFmtId="0" fontId="79" fillId="12" borderId="0" xfId="5" applyFont="1" applyFill="1" applyAlignment="1">
      <alignment vertical="center"/>
    </xf>
    <xf numFmtId="0" fontId="78" fillId="12" borderId="0" xfId="5" applyFont="1" applyFill="1"/>
    <xf numFmtId="10" fontId="80" fillId="12" borderId="0" xfId="5" applyNumberFormat="1" applyFont="1" applyFill="1" applyAlignment="1">
      <alignment vertical="center"/>
    </xf>
    <xf numFmtId="3" fontId="79" fillId="12" borderId="0" xfId="5" applyNumberFormat="1" applyFont="1" applyFill="1" applyAlignment="1">
      <alignment vertical="center"/>
    </xf>
    <xf numFmtId="4" fontId="40" fillId="12" borderId="0" xfId="2" applyNumberFormat="1" applyFont="1" applyFill="1"/>
    <xf numFmtId="175" fontId="40" fillId="12" borderId="0" xfId="3" applyNumberFormat="1" applyFont="1" applyFill="1"/>
    <xf numFmtId="10" fontId="44" fillId="12" borderId="0" xfId="7" applyNumberFormat="1" applyFont="1" applyFill="1" applyBorder="1"/>
    <xf numFmtId="164" fontId="40" fillId="12" borderId="60" xfId="7" applyNumberFormat="1" applyFont="1" applyFill="1" applyBorder="1" applyAlignment="1">
      <alignment vertical="center"/>
    </xf>
    <xf numFmtId="164" fontId="40" fillId="12" borderId="61" xfId="7" applyNumberFormat="1" applyFont="1" applyFill="1" applyBorder="1" applyAlignment="1">
      <alignment vertical="center"/>
    </xf>
    <xf numFmtId="164" fontId="40" fillId="12" borderId="62" xfId="7" applyNumberFormat="1" applyFont="1" applyFill="1" applyBorder="1" applyAlignment="1">
      <alignment vertical="center"/>
    </xf>
    <xf numFmtId="0" fontId="79" fillId="12" borderId="0" xfId="5" applyFont="1" applyFill="1"/>
    <xf numFmtId="0" fontId="81" fillId="12" borderId="0" xfId="5" applyFont="1" applyFill="1" applyAlignment="1">
      <alignment vertical="center"/>
    </xf>
    <xf numFmtId="0" fontId="82" fillId="12" borderId="0" xfId="5" applyFont="1" applyFill="1" applyAlignment="1">
      <alignment vertical="center"/>
    </xf>
    <xf numFmtId="10" fontId="82" fillId="12" borderId="0" xfId="5" applyNumberFormat="1" applyFont="1" applyFill="1" applyAlignment="1">
      <alignment vertical="center"/>
    </xf>
    <xf numFmtId="164" fontId="83" fillId="12" borderId="27" xfId="4" applyNumberFormat="1" applyFont="1" applyFill="1" applyBorder="1"/>
    <xf numFmtId="10" fontId="44" fillId="12" borderId="0" xfId="5" applyNumberFormat="1" applyFont="1" applyFill="1"/>
    <xf numFmtId="164" fontId="83" fillId="12" borderId="4" xfId="4" applyNumberFormat="1" applyFont="1" applyFill="1" applyBorder="1"/>
    <xf numFmtId="164" fontId="83" fillId="12" borderId="5" xfId="4" applyNumberFormat="1" applyFont="1" applyFill="1" applyBorder="1"/>
    <xf numFmtId="164" fontId="44" fillId="12" borderId="0" xfId="7" applyNumberFormat="1" applyFont="1" applyFill="1" applyBorder="1" applyAlignment="1"/>
    <xf numFmtId="10" fontId="46" fillId="12" borderId="0" xfId="5" applyNumberFormat="1" applyFont="1" applyFill="1" applyAlignment="1">
      <alignment horizontal="center" vertical="center"/>
    </xf>
    <xf numFmtId="0" fontId="38" fillId="12" borderId="0" xfId="5" applyFont="1" applyFill="1" applyAlignment="1">
      <alignment vertical="center"/>
    </xf>
    <xf numFmtId="0" fontId="44" fillId="12" borderId="0" xfId="5" applyFont="1" applyFill="1" applyAlignment="1">
      <alignment vertical="center"/>
    </xf>
    <xf numFmtId="0" fontId="58" fillId="12" borderId="0" xfId="5" applyFont="1" applyFill="1"/>
    <xf numFmtId="0" fontId="84" fillId="12" borderId="0" xfId="5" applyFont="1" applyFill="1" applyAlignment="1">
      <alignment vertical="center"/>
    </xf>
    <xf numFmtId="0" fontId="80" fillId="12" borderId="0" xfId="5" applyFont="1" applyFill="1" applyAlignment="1">
      <alignment vertical="center"/>
    </xf>
    <xf numFmtId="175" fontId="40" fillId="12" borderId="0" xfId="7" applyNumberFormat="1" applyFont="1" applyFill="1" applyAlignment="1">
      <alignment vertical="center"/>
    </xf>
    <xf numFmtId="4" fontId="83" fillId="12" borderId="3" xfId="4" applyNumberFormat="1" applyFont="1" applyFill="1" applyBorder="1"/>
    <xf numFmtId="4" fontId="83" fillId="12" borderId="0" xfId="4" applyNumberFormat="1" applyFont="1" applyFill="1"/>
    <xf numFmtId="4" fontId="83" fillId="12" borderId="44" xfId="4" applyNumberFormat="1" applyFont="1" applyFill="1" applyBorder="1"/>
    <xf numFmtId="166" fontId="54" fillId="25" borderId="23" xfId="5" applyNumberFormat="1" applyFont="1" applyFill="1" applyBorder="1" applyAlignment="1" applyProtection="1">
      <alignment vertical="center"/>
      <protection locked="0"/>
    </xf>
    <xf numFmtId="0" fontId="53" fillId="25" borderId="21" xfId="5" applyFont="1" applyFill="1" applyBorder="1" applyAlignment="1">
      <alignment horizontal="right" vertical="center"/>
    </xf>
    <xf numFmtId="3" fontId="66" fillId="25" borderId="23" xfId="5" applyNumberFormat="1" applyFont="1" applyFill="1" applyBorder="1" applyAlignment="1" applyProtection="1">
      <alignment vertical="center"/>
      <protection locked="0"/>
    </xf>
    <xf numFmtId="0" fontId="44" fillId="17" borderId="11" xfId="5" applyFont="1" applyFill="1" applyBorder="1" applyAlignment="1">
      <alignment horizontal="right" vertical="center"/>
    </xf>
    <xf numFmtId="0" fontId="44" fillId="17" borderId="12" xfId="5" applyFont="1" applyFill="1" applyBorder="1" applyAlignment="1">
      <alignment horizontal="right" vertical="center"/>
    </xf>
    <xf numFmtId="0" fontId="44" fillId="17" borderId="21" xfId="5" applyFont="1" applyFill="1" applyBorder="1" applyAlignment="1">
      <alignment horizontal="right" vertical="center"/>
    </xf>
    <xf numFmtId="0" fontId="44" fillId="17" borderId="22" xfId="5" applyFont="1" applyFill="1" applyBorder="1" applyAlignment="1">
      <alignment horizontal="right" vertical="center"/>
    </xf>
    <xf numFmtId="0" fontId="64" fillId="27" borderId="6" xfId="5" applyFont="1" applyFill="1" applyBorder="1" applyAlignment="1">
      <alignment vertical="center"/>
    </xf>
    <xf numFmtId="0" fontId="64" fillId="27" borderId="55" xfId="5" applyFont="1" applyFill="1" applyBorder="1" applyAlignment="1">
      <alignment vertical="center"/>
    </xf>
    <xf numFmtId="178" fontId="64" fillId="27" borderId="7" xfId="5" applyNumberFormat="1" applyFont="1" applyFill="1" applyBorder="1" applyAlignment="1">
      <alignment vertical="center"/>
    </xf>
    <xf numFmtId="0" fontId="85" fillId="17" borderId="12" xfId="5" applyFont="1" applyFill="1" applyBorder="1" applyAlignment="1">
      <alignment horizontal="right" vertical="center"/>
    </xf>
    <xf numFmtId="0" fontId="86" fillId="17" borderId="12" xfId="5" applyFont="1" applyFill="1" applyBorder="1" applyAlignment="1">
      <alignment horizontal="right" vertical="center"/>
    </xf>
    <xf numFmtId="0" fontId="85" fillId="17" borderId="22" xfId="5" applyFont="1" applyFill="1" applyBorder="1" applyAlignment="1">
      <alignment horizontal="right" vertical="center"/>
    </xf>
    <xf numFmtId="0" fontId="86" fillId="17" borderId="22" xfId="5" applyFont="1" applyFill="1" applyBorder="1" applyAlignment="1">
      <alignment horizontal="right" vertical="center"/>
    </xf>
    <xf numFmtId="10" fontId="89" fillId="26" borderId="0" xfId="7" applyNumberFormat="1" applyFont="1" applyFill="1" applyBorder="1" applyAlignment="1" applyProtection="1">
      <alignment horizontal="right" vertical="center"/>
    </xf>
    <xf numFmtId="0" fontId="53" fillId="27" borderId="6" xfId="5" applyFont="1" applyFill="1" applyBorder="1" applyAlignment="1">
      <alignment horizontal="center" vertical="center"/>
    </xf>
    <xf numFmtId="0" fontId="53" fillId="27" borderId="7" xfId="5" applyFont="1" applyFill="1" applyBorder="1" applyAlignment="1">
      <alignment horizontal="center" vertical="center"/>
    </xf>
    <xf numFmtId="0" fontId="50" fillId="17" borderId="49" xfId="5" applyFont="1" applyFill="1" applyBorder="1" applyAlignment="1">
      <alignment vertical="center"/>
    </xf>
    <xf numFmtId="0" fontId="86" fillId="17" borderId="29" xfId="5" applyFont="1" applyFill="1" applyBorder="1" applyAlignment="1">
      <alignment vertical="center"/>
    </xf>
    <xf numFmtId="0" fontId="86" fillId="17" borderId="12" xfId="5" applyFont="1" applyFill="1" applyBorder="1" applyAlignment="1">
      <alignment vertical="center"/>
    </xf>
    <xf numFmtId="173" fontId="86" fillId="17" borderId="31" xfId="5" applyNumberFormat="1" applyFont="1" applyFill="1" applyBorder="1" applyAlignment="1">
      <alignment vertical="center"/>
    </xf>
    <xf numFmtId="0" fontId="86" fillId="17" borderId="49" xfId="5" applyFont="1" applyFill="1" applyBorder="1" applyAlignment="1">
      <alignment vertical="center"/>
    </xf>
    <xf numFmtId="0" fontId="86" fillId="17" borderId="46" xfId="5" applyFont="1" applyFill="1" applyBorder="1" applyAlignment="1">
      <alignment vertical="center"/>
    </xf>
    <xf numFmtId="173" fontId="86" fillId="17" borderId="36" xfId="5" applyNumberFormat="1" applyFont="1" applyFill="1" applyBorder="1" applyAlignment="1">
      <alignment vertical="center"/>
    </xf>
    <xf numFmtId="0" fontId="86" fillId="17" borderId="57" xfId="5" applyFont="1" applyFill="1" applyBorder="1" applyAlignment="1">
      <alignment vertical="center"/>
    </xf>
    <xf numFmtId="0" fontId="86" fillId="17" borderId="58" xfId="5" applyFont="1" applyFill="1" applyBorder="1" applyAlignment="1">
      <alignment vertical="center"/>
    </xf>
    <xf numFmtId="173" fontId="86" fillId="17" borderId="59" xfId="5" applyNumberFormat="1" applyFont="1" applyFill="1" applyBorder="1" applyAlignment="1">
      <alignment vertical="center"/>
    </xf>
    <xf numFmtId="0" fontId="90" fillId="20" borderId="6" xfId="5" applyFont="1" applyFill="1" applyBorder="1" applyAlignment="1">
      <alignment vertical="center"/>
    </xf>
    <xf numFmtId="0" fontId="90" fillId="20" borderId="55" xfId="5" applyFont="1" applyFill="1" applyBorder="1" applyAlignment="1">
      <alignment vertical="center"/>
    </xf>
    <xf numFmtId="169" fontId="90" fillId="20" borderId="55" xfId="5" applyNumberFormat="1" applyFont="1" applyFill="1" applyBorder="1" applyAlignment="1">
      <alignment horizontal="right" vertical="center"/>
    </xf>
    <xf numFmtId="0" fontId="86" fillId="20" borderId="9" xfId="5" applyFont="1" applyFill="1" applyBorder="1" applyAlignment="1">
      <alignment horizontal="center" vertical="center"/>
    </xf>
    <xf numFmtId="10" fontId="86" fillId="20" borderId="10" xfId="5" applyNumberFormat="1" applyFont="1" applyFill="1" applyBorder="1" applyAlignment="1">
      <alignment horizontal="left" vertical="center"/>
    </xf>
    <xf numFmtId="0" fontId="85" fillId="20" borderId="10" xfId="5" applyFont="1" applyFill="1" applyBorder="1" applyAlignment="1">
      <alignment vertical="center"/>
    </xf>
    <xf numFmtId="0" fontId="86" fillId="20" borderId="10" xfId="5" applyFont="1" applyFill="1" applyBorder="1" applyAlignment="1">
      <alignment horizontal="right" vertical="center"/>
    </xf>
    <xf numFmtId="179" fontId="86" fillId="20" borderId="37" xfId="5" applyNumberFormat="1" applyFont="1" applyFill="1" applyBorder="1" applyAlignment="1">
      <alignment horizontal="left" vertical="center"/>
    </xf>
    <xf numFmtId="0" fontId="86" fillId="20" borderId="19" xfId="5" applyFont="1" applyFill="1" applyBorder="1" applyAlignment="1">
      <alignment vertical="center"/>
    </xf>
    <xf numFmtId="10" fontId="86" fillId="20" borderId="0" xfId="5" applyNumberFormat="1" applyFont="1" applyFill="1" applyAlignment="1">
      <alignment horizontal="left" vertical="center"/>
    </xf>
    <xf numFmtId="0" fontId="85" fillId="20" borderId="0" xfId="5" applyFont="1" applyFill="1" applyAlignment="1">
      <alignment vertical="center"/>
    </xf>
    <xf numFmtId="0" fontId="85" fillId="20" borderId="56" xfId="5" applyFont="1" applyFill="1" applyBorder="1" applyAlignment="1">
      <alignment vertical="center"/>
    </xf>
    <xf numFmtId="0" fontId="87" fillId="20" borderId="0" xfId="5" applyFont="1" applyFill="1" applyAlignment="1">
      <alignment vertical="center"/>
    </xf>
    <xf numFmtId="0" fontId="87" fillId="20" borderId="56" xfId="5" applyFont="1" applyFill="1" applyBorder="1" applyAlignment="1">
      <alignment vertical="center"/>
    </xf>
    <xf numFmtId="3" fontId="86" fillId="20" borderId="0" xfId="5" applyNumberFormat="1" applyFont="1" applyFill="1" applyAlignment="1">
      <alignment horizontal="center" vertical="center"/>
    </xf>
    <xf numFmtId="0" fontId="86" fillId="20" borderId="39" xfId="5" applyFont="1" applyFill="1" applyBorder="1" applyAlignment="1">
      <alignment vertical="center"/>
    </xf>
    <xf numFmtId="0" fontId="85" fillId="20" borderId="8" xfId="5" applyFont="1" applyFill="1" applyBorder="1" applyAlignment="1">
      <alignment vertical="center"/>
    </xf>
    <xf numFmtId="0" fontId="85" fillId="20" borderId="40" xfId="5" applyFont="1" applyFill="1" applyBorder="1" applyAlignment="1">
      <alignment vertical="center"/>
    </xf>
    <xf numFmtId="181" fontId="90" fillId="20" borderId="6" xfId="5" applyNumberFormat="1" applyFont="1" applyFill="1" applyBorder="1" applyAlignment="1">
      <alignment horizontal="center" vertical="center"/>
    </xf>
    <xf numFmtId="8" fontId="90" fillId="20" borderId="7" xfId="5" applyNumberFormat="1" applyFont="1" applyFill="1" applyBorder="1" applyAlignment="1">
      <alignment horizontal="center" vertical="center"/>
    </xf>
    <xf numFmtId="178" fontId="90" fillId="20" borderId="7" xfId="5" applyNumberFormat="1" applyFont="1" applyFill="1" applyBorder="1" applyAlignment="1">
      <alignment vertical="center"/>
    </xf>
    <xf numFmtId="0" fontId="44" fillId="17" borderId="45" xfId="5" applyFont="1" applyFill="1" applyBorder="1" applyAlignment="1">
      <alignment horizontal="right" vertical="center"/>
    </xf>
    <xf numFmtId="0" fontId="85" fillId="17" borderId="46" xfId="5" applyFont="1" applyFill="1" applyBorder="1" applyAlignment="1">
      <alignment horizontal="right" vertical="center"/>
    </xf>
    <xf numFmtId="0" fontId="50" fillId="17" borderId="49" xfId="5" applyFont="1" applyFill="1" applyBorder="1" applyAlignment="1">
      <alignment horizontal="left" vertical="center"/>
    </xf>
    <xf numFmtId="0" fontId="50" fillId="17" borderId="46" xfId="5" applyFont="1" applyFill="1" applyBorder="1" applyAlignment="1">
      <alignment vertical="center"/>
    </xf>
    <xf numFmtId="166" fontId="50" fillId="17" borderId="45" xfId="5" applyNumberFormat="1" applyFont="1" applyFill="1" applyBorder="1" applyAlignment="1">
      <alignment horizontal="right" vertical="center"/>
    </xf>
    <xf numFmtId="10" fontId="74" fillId="17" borderId="50" xfId="7" applyNumberFormat="1" applyFont="1" applyFill="1" applyBorder="1" applyAlignment="1" applyProtection="1">
      <alignment vertical="center"/>
    </xf>
    <xf numFmtId="173" fontId="50" fillId="17" borderId="50" xfId="5" applyNumberFormat="1" applyFont="1" applyFill="1" applyBorder="1" applyAlignment="1">
      <alignment vertical="center"/>
    </xf>
    <xf numFmtId="178" fontId="50" fillId="17" borderId="51" xfId="5" applyNumberFormat="1" applyFont="1" applyFill="1" applyBorder="1" applyAlignment="1">
      <alignment vertical="center"/>
    </xf>
    <xf numFmtId="166" fontId="50" fillId="17" borderId="50" xfId="5" applyNumberFormat="1" applyFont="1" applyFill="1" applyBorder="1" applyAlignment="1">
      <alignment vertical="center"/>
    </xf>
    <xf numFmtId="0" fontId="50" fillId="17" borderId="50" xfId="5" applyFont="1" applyFill="1" applyBorder="1" applyAlignment="1">
      <alignment vertical="center"/>
    </xf>
    <xf numFmtId="0" fontId="50" fillId="17" borderId="47" xfId="5" applyFont="1" applyFill="1" applyBorder="1" applyAlignment="1">
      <alignment vertical="center"/>
    </xf>
    <xf numFmtId="0" fontId="50" fillId="17" borderId="22" xfId="5" applyFont="1" applyFill="1" applyBorder="1" applyAlignment="1">
      <alignment vertical="center"/>
    </xf>
    <xf numFmtId="166" fontId="50" fillId="17" borderId="48" xfId="5" applyNumberFormat="1" applyFont="1" applyFill="1" applyBorder="1" applyAlignment="1">
      <alignment vertical="center"/>
    </xf>
    <xf numFmtId="10" fontId="74" fillId="17" borderId="48" xfId="7" applyNumberFormat="1" applyFont="1" applyFill="1" applyBorder="1" applyAlignment="1" applyProtection="1">
      <alignment vertical="center"/>
    </xf>
    <xf numFmtId="0" fontId="50" fillId="17" borderId="48" xfId="5" applyFont="1" applyFill="1" applyBorder="1" applyAlignment="1">
      <alignment vertical="center"/>
    </xf>
    <xf numFmtId="0" fontId="40" fillId="17" borderId="6" xfId="5" applyFont="1" applyFill="1" applyBorder="1" applyAlignment="1">
      <alignment vertical="center"/>
    </xf>
    <xf numFmtId="0" fontId="40" fillId="17" borderId="55" xfId="5" applyFont="1" applyFill="1" applyBorder="1" applyAlignment="1">
      <alignment vertical="center"/>
    </xf>
    <xf numFmtId="0" fontId="40" fillId="17" borderId="28" xfId="5" applyFont="1" applyFill="1" applyBorder="1" applyAlignment="1">
      <alignment vertical="center"/>
    </xf>
    <xf numFmtId="0" fontId="50" fillId="17" borderId="63" xfId="5" applyFont="1" applyFill="1" applyBorder="1" applyAlignment="1">
      <alignment horizontal="center" vertical="center"/>
    </xf>
    <xf numFmtId="0" fontId="50" fillId="17" borderId="64" xfId="5" applyFont="1" applyFill="1" applyBorder="1" applyAlignment="1">
      <alignment horizontal="center" vertical="center"/>
    </xf>
    <xf numFmtId="0" fontId="50" fillId="17" borderId="65" xfId="5" applyFont="1" applyFill="1" applyBorder="1" applyAlignment="1">
      <alignment horizontal="center" vertical="center"/>
    </xf>
    <xf numFmtId="0" fontId="50" fillId="17" borderId="47" xfId="5" applyFont="1" applyFill="1" applyBorder="1" applyAlignment="1">
      <alignment horizontal="left" vertical="center"/>
    </xf>
    <xf numFmtId="0" fontId="50" fillId="17" borderId="22" xfId="5" applyFont="1" applyFill="1" applyBorder="1" applyAlignment="1">
      <alignment horizontal="center" vertical="center"/>
    </xf>
    <xf numFmtId="173" fontId="50" fillId="17" borderId="21" xfId="5" applyNumberFormat="1" applyFont="1" applyFill="1" applyBorder="1" applyAlignment="1">
      <alignment horizontal="right" vertical="center"/>
    </xf>
    <xf numFmtId="3" fontId="74" fillId="17" borderId="48" xfId="5" applyNumberFormat="1" applyFont="1" applyFill="1" applyBorder="1" applyAlignment="1">
      <alignment horizontal="center" vertical="center"/>
    </xf>
    <xf numFmtId="8" fontId="50" fillId="17" borderId="48" xfId="5" applyNumberFormat="1" applyFont="1" applyFill="1" applyBorder="1" applyAlignment="1">
      <alignment vertical="center"/>
    </xf>
    <xf numFmtId="0" fontId="50" fillId="17" borderId="23" xfId="5" applyFont="1" applyFill="1" applyBorder="1" applyAlignment="1">
      <alignment vertical="center"/>
    </xf>
    <xf numFmtId="3" fontId="50" fillId="17" borderId="46" xfId="5" applyNumberFormat="1" applyFont="1" applyFill="1" applyBorder="1" applyAlignment="1">
      <alignment horizontal="center" vertical="center"/>
    </xf>
    <xf numFmtId="3" fontId="74" fillId="17" borderId="50" xfId="5" applyNumberFormat="1" applyFont="1" applyFill="1" applyBorder="1" applyAlignment="1">
      <alignment horizontal="center" vertical="center"/>
    </xf>
    <xf numFmtId="0" fontId="50" fillId="17" borderId="51" xfId="5" applyFont="1" applyFill="1" applyBorder="1" applyAlignment="1">
      <alignment vertical="center"/>
    </xf>
    <xf numFmtId="177" fontId="74" fillId="17" borderId="50" xfId="5" applyNumberFormat="1" applyFont="1" applyFill="1" applyBorder="1" applyAlignment="1">
      <alignment horizontal="center" vertical="center"/>
    </xf>
    <xf numFmtId="0" fontId="50" fillId="17" borderId="33" xfId="5" applyFont="1" applyFill="1" applyBorder="1" applyAlignment="1">
      <alignment horizontal="left" vertical="center"/>
    </xf>
    <xf numFmtId="0" fontId="50" fillId="17" borderId="34" xfId="5" applyFont="1" applyFill="1" applyBorder="1" applyAlignment="1">
      <alignment vertical="center"/>
    </xf>
    <xf numFmtId="3" fontId="50" fillId="17" borderId="34" xfId="5" applyNumberFormat="1" applyFont="1" applyFill="1" applyBorder="1" applyAlignment="1">
      <alignment horizontal="center" vertical="center"/>
    </xf>
    <xf numFmtId="166" fontId="50" fillId="17" borderId="52" xfId="5" applyNumberFormat="1" applyFont="1" applyFill="1" applyBorder="1" applyAlignment="1">
      <alignment horizontal="right" vertical="center"/>
    </xf>
    <xf numFmtId="0" fontId="74" fillId="17" borderId="53" xfId="5" applyFont="1" applyFill="1" applyBorder="1" applyAlignment="1">
      <alignment horizontal="center" vertical="center"/>
    </xf>
    <xf numFmtId="173" fontId="50" fillId="17" borderId="53" xfId="5" applyNumberFormat="1" applyFont="1" applyFill="1" applyBorder="1" applyAlignment="1">
      <alignment vertical="center"/>
    </xf>
    <xf numFmtId="0" fontId="50" fillId="17" borderId="54" xfId="5" applyFont="1" applyFill="1" applyBorder="1" applyAlignment="1">
      <alignment vertical="center"/>
    </xf>
    <xf numFmtId="0" fontId="50" fillId="17" borderId="39" xfId="5" applyFont="1" applyFill="1" applyBorder="1" applyAlignment="1">
      <alignment vertical="center"/>
    </xf>
    <xf numFmtId="0" fontId="50" fillId="17" borderId="8" xfId="5" applyFont="1" applyFill="1" applyBorder="1" applyAlignment="1">
      <alignment vertical="center"/>
    </xf>
    <xf numFmtId="166" fontId="50" fillId="17" borderId="8" xfId="5" applyNumberFormat="1" applyFont="1" applyFill="1" applyBorder="1" applyAlignment="1">
      <alignment vertical="center"/>
    </xf>
    <xf numFmtId="166" fontId="66" fillId="27" borderId="23" xfId="5" applyNumberFormat="1" applyFont="1" applyFill="1" applyBorder="1" applyAlignment="1">
      <alignment vertical="center"/>
    </xf>
    <xf numFmtId="178" fontId="53" fillId="27" borderId="23" xfId="5" applyNumberFormat="1" applyFont="1" applyFill="1" applyBorder="1" applyAlignment="1">
      <alignment vertical="center"/>
    </xf>
    <xf numFmtId="178" fontId="53" fillId="27" borderId="51" xfId="5" applyNumberFormat="1" applyFont="1" applyFill="1" applyBorder="1" applyAlignment="1">
      <alignment vertical="center"/>
    </xf>
    <xf numFmtId="0" fontId="93" fillId="25" borderId="22" xfId="5" applyFont="1" applyFill="1" applyBorder="1" applyAlignment="1">
      <alignment horizontal="right" vertical="center"/>
    </xf>
    <xf numFmtId="3" fontId="46" fillId="26" borderId="13" xfId="5" applyNumberFormat="1" applyFont="1" applyFill="1" applyBorder="1" applyAlignment="1" applyProtection="1">
      <alignment vertical="center"/>
      <protection locked="0"/>
    </xf>
    <xf numFmtId="3" fontId="88" fillId="26" borderId="23" xfId="5" applyNumberFormat="1" applyFont="1" applyFill="1" applyBorder="1" applyAlignment="1" applyProtection="1">
      <alignment vertical="center"/>
      <protection locked="0"/>
    </xf>
    <xf numFmtId="166" fontId="46" fillId="26" borderId="23" xfId="5" applyNumberFormat="1" applyFont="1" applyFill="1" applyBorder="1" applyAlignment="1" applyProtection="1">
      <alignment vertical="center"/>
      <protection locked="0"/>
    </xf>
    <xf numFmtId="166" fontId="87" fillId="26" borderId="23" xfId="5" applyNumberFormat="1" applyFont="1" applyFill="1" applyBorder="1" applyAlignment="1" applyProtection="1">
      <alignment vertical="center"/>
      <protection locked="0"/>
    </xf>
    <xf numFmtId="166" fontId="88" fillId="26" borderId="23" xfId="5" applyNumberFormat="1" applyFont="1" applyFill="1" applyBorder="1" applyAlignment="1" applyProtection="1">
      <alignment vertical="center"/>
      <protection locked="0"/>
    </xf>
    <xf numFmtId="174" fontId="61" fillId="13" borderId="38" xfId="5" applyNumberFormat="1" applyFont="1" applyFill="1" applyBorder="1" applyAlignment="1">
      <alignment horizontal="center" vertical="center"/>
    </xf>
    <xf numFmtId="174" fontId="61" fillId="13" borderId="41" xfId="5" applyNumberFormat="1" applyFont="1" applyFill="1" applyBorder="1" applyAlignment="1">
      <alignment horizontal="center" vertical="center"/>
    </xf>
    <xf numFmtId="0" fontId="39" fillId="26" borderId="19" xfId="5" applyFont="1" applyFill="1" applyBorder="1" applyAlignment="1">
      <alignment horizontal="center" vertical="center"/>
    </xf>
    <xf numFmtId="0" fontId="39" fillId="26" borderId="0" xfId="5" applyFont="1" applyFill="1" applyAlignment="1">
      <alignment horizontal="center" vertical="center"/>
    </xf>
    <xf numFmtId="0" fontId="39" fillId="26" borderId="20" xfId="5" applyFont="1" applyFill="1" applyBorder="1" applyAlignment="1">
      <alignment horizontal="center" vertical="center"/>
    </xf>
    <xf numFmtId="0" fontId="36" fillId="24" borderId="6" xfId="5" applyFont="1" applyFill="1" applyBorder="1" applyAlignment="1">
      <alignment horizontal="center" vertical="center"/>
    </xf>
    <xf numFmtId="0" fontId="36" fillId="24" borderId="55" xfId="5" applyFont="1" applyFill="1" applyBorder="1" applyAlignment="1">
      <alignment horizontal="center" vertical="center"/>
    </xf>
    <xf numFmtId="0" fontId="36" fillId="24" borderId="28" xfId="5" applyFont="1" applyFill="1" applyBorder="1" applyAlignment="1">
      <alignment horizontal="center" vertical="center"/>
    </xf>
    <xf numFmtId="0" fontId="49" fillId="26" borderId="19" xfId="5" applyFont="1" applyFill="1" applyBorder="1" applyAlignment="1">
      <alignment horizontal="center" vertical="center"/>
    </xf>
    <xf numFmtId="0" fontId="49" fillId="26" borderId="0" xfId="5" applyFont="1" applyFill="1" applyAlignment="1">
      <alignment horizontal="center" vertical="center"/>
    </xf>
    <xf numFmtId="0" fontId="49" fillId="26" borderId="20" xfId="5" applyFont="1" applyFill="1" applyBorder="1" applyAlignment="1">
      <alignment horizontal="center" vertical="center"/>
    </xf>
    <xf numFmtId="0" fontId="51" fillId="26" borderId="19" xfId="5" applyFont="1" applyFill="1" applyBorder="1" applyAlignment="1">
      <alignment horizontal="center" vertical="center"/>
    </xf>
    <xf numFmtId="0" fontId="51" fillId="26" borderId="0" xfId="5" applyFont="1" applyFill="1" applyAlignment="1">
      <alignment horizontal="center" vertical="center"/>
    </xf>
    <xf numFmtId="0" fontId="51" fillId="26" borderId="20" xfId="5" applyFont="1" applyFill="1" applyBorder="1" applyAlignment="1">
      <alignment horizontal="center" vertical="center"/>
    </xf>
    <xf numFmtId="0" fontId="50" fillId="13" borderId="6" xfId="5" applyFont="1" applyFill="1" applyBorder="1" applyAlignment="1">
      <alignment horizontal="center" vertical="center"/>
    </xf>
    <xf numFmtId="0" fontId="50" fillId="13" borderId="28" xfId="5" applyFont="1" applyFill="1" applyBorder="1" applyAlignment="1">
      <alignment horizontal="center" vertical="center"/>
    </xf>
    <xf numFmtId="0" fontId="46" fillId="17" borderId="6" xfId="5" applyFont="1" applyFill="1" applyBorder="1" applyAlignment="1">
      <alignment horizontal="center" vertical="center"/>
    </xf>
    <xf numFmtId="0" fontId="46" fillId="17" borderId="55" xfId="5" applyFont="1" applyFill="1" applyBorder="1" applyAlignment="1">
      <alignment horizontal="center" vertical="center"/>
    </xf>
    <xf numFmtId="0" fontId="46" fillId="17" borderId="28" xfId="5" applyFont="1" applyFill="1" applyBorder="1" applyAlignment="1">
      <alignment horizontal="center" vertical="center"/>
    </xf>
    <xf numFmtId="0" fontId="50" fillId="17" borderId="39" xfId="5" applyFont="1" applyFill="1" applyBorder="1" applyAlignment="1">
      <alignment horizontal="center" vertical="center"/>
    </xf>
    <xf numFmtId="0" fontId="50" fillId="17" borderId="8" xfId="5" applyFont="1" applyFill="1" applyBorder="1" applyAlignment="1">
      <alignment horizontal="center" vertical="center"/>
    </xf>
    <xf numFmtId="0" fontId="50" fillId="17" borderId="63" xfId="5" applyFont="1" applyFill="1" applyBorder="1" applyAlignment="1">
      <alignment horizontal="center" vertical="center"/>
    </xf>
    <xf numFmtId="171" fontId="56" fillId="13" borderId="6" xfId="5" applyNumberFormat="1" applyFont="1" applyFill="1" applyBorder="1" applyAlignment="1">
      <alignment horizontal="center" vertical="center"/>
    </xf>
    <xf numFmtId="171" fontId="56" fillId="13" borderId="28" xfId="5" applyNumberFormat="1" applyFont="1" applyFill="1" applyBorder="1" applyAlignment="1">
      <alignment horizontal="center" vertical="center"/>
    </xf>
    <xf numFmtId="8" fontId="57" fillId="13" borderId="6" xfId="5" applyNumberFormat="1" applyFont="1" applyFill="1" applyBorder="1" applyAlignment="1">
      <alignment horizontal="center" vertical="center"/>
    </xf>
    <xf numFmtId="8" fontId="57" fillId="13" borderId="28" xfId="5" applyNumberFormat="1" applyFont="1" applyFill="1" applyBorder="1" applyAlignment="1">
      <alignment horizontal="center" vertical="center"/>
    </xf>
    <xf numFmtId="0" fontId="60" fillId="13" borderId="9" xfId="5" applyFont="1" applyFill="1" applyBorder="1" applyAlignment="1">
      <alignment horizontal="center" vertical="center"/>
    </xf>
    <xf numFmtId="0" fontId="60" fillId="13" borderId="10" xfId="5" applyFont="1" applyFill="1" applyBorder="1" applyAlignment="1">
      <alignment horizontal="center" vertical="center"/>
    </xf>
    <xf numFmtId="0" fontId="60" fillId="13" borderId="37" xfId="5" applyFont="1" applyFill="1" applyBorder="1" applyAlignment="1">
      <alignment horizontal="center" vertical="center"/>
    </xf>
    <xf numFmtId="0" fontId="60" fillId="13" borderId="39" xfId="5" applyFont="1" applyFill="1" applyBorder="1" applyAlignment="1">
      <alignment horizontal="center" vertical="center"/>
    </xf>
    <xf numFmtId="0" fontId="60" fillId="13" borderId="8" xfId="5" applyFont="1" applyFill="1" applyBorder="1" applyAlignment="1">
      <alignment horizontal="center" vertical="center"/>
    </xf>
    <xf numFmtId="0" fontId="60" fillId="13" borderId="40" xfId="5"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0" xfId="0" applyFont="1" applyFill="1" applyAlignment="1">
      <alignment horizontal="center" vertical="center"/>
    </xf>
    <xf numFmtId="0" fontId="14" fillId="7" borderId="0" xfId="1" applyAlignment="1" applyProtection="1">
      <alignment horizontal="left" wrapText="1"/>
    </xf>
    <xf numFmtId="0" fontId="34" fillId="18" borderId="1" xfId="0" applyFont="1" applyFill="1" applyBorder="1" applyAlignment="1">
      <alignment horizontal="center" vertical="center"/>
    </xf>
    <xf numFmtId="0" fontId="0" fillId="17" borderId="1" xfId="0" applyFill="1" applyBorder="1" applyAlignment="1">
      <alignment horizontal="left" vertical="center" wrapText="1"/>
    </xf>
    <xf numFmtId="0" fontId="35" fillId="13" borderId="0" xfId="0" applyFont="1" applyFill="1" applyAlignment="1">
      <alignment horizontal="center" vertical="center"/>
    </xf>
    <xf numFmtId="0" fontId="33" fillId="17" borderId="1" xfId="0" applyFont="1" applyFill="1" applyBorder="1" applyAlignment="1">
      <alignment horizontal="center" vertical="center"/>
    </xf>
    <xf numFmtId="0" fontId="33" fillId="17"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44" xfId="0" applyFont="1" applyFill="1" applyBorder="1" applyAlignment="1">
      <alignment horizontal="center" vertical="center"/>
    </xf>
    <xf numFmtId="0" fontId="13" fillId="10" borderId="4" xfId="0" applyFont="1" applyFill="1" applyBorder="1" applyAlignment="1">
      <alignment horizontal="center" vertical="center" wrapText="1"/>
    </xf>
    <xf numFmtId="0" fontId="13" fillId="10" borderId="0" xfId="0" applyFont="1" applyFill="1" applyAlignment="1">
      <alignment horizontal="center" vertical="center" wrapText="1"/>
    </xf>
    <xf numFmtId="0" fontId="13" fillId="10" borderId="4" xfId="0" applyFont="1" applyFill="1" applyBorder="1" applyAlignment="1">
      <alignment horizontal="center" vertical="center"/>
    </xf>
    <xf numFmtId="0" fontId="13" fillId="10" borderId="0" xfId="0" applyFont="1" applyFill="1" applyAlignment="1">
      <alignment horizontal="center" vertical="center"/>
    </xf>
    <xf numFmtId="0" fontId="13" fillId="2" borderId="4" xfId="0" applyFont="1" applyFill="1" applyBorder="1" applyAlignment="1">
      <alignment horizontal="center" vertical="center"/>
    </xf>
    <xf numFmtId="166" fontId="6" fillId="0" borderId="1" xfId="0" applyNumberFormat="1" applyFont="1" applyBorder="1" applyAlignment="1" applyProtection="1">
      <alignment horizontal="center" vertical="center"/>
      <protection locked="0" hidden="1"/>
    </xf>
    <xf numFmtId="166" fontId="4" fillId="2" borderId="1" xfId="0" applyNumberFormat="1" applyFont="1" applyFill="1" applyBorder="1" applyAlignment="1">
      <alignment horizontal="center" vertical="center" wrapText="1"/>
    </xf>
    <xf numFmtId="0" fontId="10" fillId="9" borderId="0" xfId="0" applyFont="1" applyFill="1" applyAlignment="1">
      <alignment horizontal="center" wrapText="1" readingOrder="1"/>
    </xf>
    <xf numFmtId="0" fontId="14" fillId="7" borderId="0" xfId="1" applyBorder="1" applyAlignment="1" applyProtection="1">
      <alignment horizontal="left" vertical="center" wrapText="1"/>
    </xf>
  </cellXfs>
  <cellStyles count="8">
    <cellStyle name="Currency 2" xfId="6" xr:uid="{00000000-0005-0000-0000-000000000000}"/>
    <cellStyle name="Neutral" xfId="1" builtinId="28"/>
    <cellStyle name="Normal" xfId="0" builtinId="0"/>
    <cellStyle name="Normal 2" xfId="4" xr:uid="{00000000-0005-0000-0000-000003000000}"/>
    <cellStyle name="Normal 3" xfId="5" xr:uid="{00000000-0005-0000-0000-000004000000}"/>
    <cellStyle name="Normal_Acores" xfId="3" xr:uid="{00000000-0005-0000-0000-000005000000}"/>
    <cellStyle name="Normal_Continente" xfId="2" xr:uid="{00000000-0005-0000-0000-000006000000}"/>
    <cellStyle name="Percent 2" xfId="7" xr:uid="{00000000-0005-0000-0000-000007000000}"/>
  </cellStyles>
  <dxfs count="0"/>
  <tableStyles count="0" defaultTableStyle="TableStyleMedium2" defaultPivotStyle="PivotStyleLight16"/>
  <colors>
    <mruColors>
      <color rgb="FFFF6600"/>
      <color rgb="FFFC6703"/>
      <color rgb="FFFEE4D2"/>
      <color rgb="FF0155B8"/>
      <color rgb="FFE66914"/>
      <color rgb="FFFF0066"/>
      <color rgb="FF99CC00"/>
      <color rgb="FF66CC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16" lockText="1"/>
</file>

<file path=xl/ctrlProps/ctrlProp2.xml><?xml version="1.0" encoding="utf-8"?>
<formControlPr xmlns="http://schemas.microsoft.com/office/spreadsheetml/2009/9/main" objectType="Drop" dropLines="15" dropStyle="combo" dx="16" fmlaLink="$V$1" fmlaRange="$U$2:$U$20" sel="14" val="0"/>
</file>

<file path=xl/ctrlProps/ctrlProp3.xml><?xml version="1.0" encoding="utf-8"?>
<formControlPr xmlns="http://schemas.microsoft.com/office/spreadsheetml/2009/9/main" objectType="Drop" dropLines="3" dropStyle="combo" dx="16" fmlaLink="$A$15" fmlaRange="$Y$1:$Y$3" sel="1" val="0"/>
</file>

<file path=xl/ctrlProps/ctrlProp4.xml><?xml version="1.0" encoding="utf-8"?>
<formControlPr xmlns="http://schemas.microsoft.com/office/spreadsheetml/2009/9/main" objectType="CheckBox" fmlaLink="$A$19" lockText="1"/>
</file>

<file path=xl/ctrlProps/ctrlProp5.xml><?xml version="1.0" encoding="utf-8"?>
<formControlPr xmlns="http://schemas.microsoft.com/office/spreadsheetml/2009/9/main" objectType="Drop" dropLines="12" dropStyle="combo" dx="16" fmlaLink="$A$18" fmlaRange="$Y$7:$Y$18" sel="1" val="0"/>
</file>

<file path=xl/ctrlProps/ctrlProp6.xml><?xml version="1.0" encoding="utf-8"?>
<formControlPr xmlns="http://schemas.microsoft.com/office/spreadsheetml/2009/9/main" objectType="Drop" dropLines="12" dropStyle="combo" dx="16" fmlaLink="$A$2" fmlaRange="$AE$7:$AE$18" sel="1" val="0"/>
</file>

<file path=xl/ctrlProps/ctrlProp7.xml><?xml version="1.0" encoding="utf-8"?>
<formControlPr xmlns="http://schemas.microsoft.com/office/spreadsheetml/2009/9/main" objectType="CheckBox" checked="Checked" fmlaLink="$A$14"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loan.p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7</xdr:row>
          <xdr:rowOff>177800</xdr:rowOff>
        </xdr:from>
        <xdr:to>
          <xdr:col>1</xdr:col>
          <xdr:colOff>336550</xdr:colOff>
          <xdr:row>8</xdr:row>
          <xdr:rowOff>152400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222250</xdr:rowOff>
        </xdr:from>
        <xdr:to>
          <xdr:col>1</xdr:col>
          <xdr:colOff>603250</xdr:colOff>
          <xdr:row>9</xdr:row>
          <xdr:rowOff>184150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xdr:row>
          <xdr:rowOff>165100</xdr:rowOff>
        </xdr:from>
        <xdr:to>
          <xdr:col>2</xdr:col>
          <xdr:colOff>406400</xdr:colOff>
          <xdr:row>7</xdr:row>
          <xdr:rowOff>127000</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xdr:row>
          <xdr:rowOff>114300</xdr:rowOff>
        </xdr:from>
        <xdr:to>
          <xdr:col>1</xdr:col>
          <xdr:colOff>336550</xdr:colOff>
          <xdr:row>14</xdr:row>
          <xdr:rowOff>101600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31750</xdr:rowOff>
        </xdr:from>
        <xdr:to>
          <xdr:col>3</xdr:col>
          <xdr:colOff>946150</xdr:colOff>
          <xdr:row>11</xdr:row>
          <xdr:rowOff>0</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xdr:row>
          <xdr:rowOff>50800</xdr:rowOff>
        </xdr:from>
        <xdr:to>
          <xdr:col>3</xdr:col>
          <xdr:colOff>939800</xdr:colOff>
          <xdr:row>2</xdr:row>
          <xdr:rowOff>25400</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0</xdr:rowOff>
        </xdr:from>
        <xdr:to>
          <xdr:col>6</xdr:col>
          <xdr:colOff>50800</xdr:colOff>
          <xdr:row>14</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solidFill>
              <a:srgbClr val="FFFF99" mc:Ignorable="a14" a14:legacySpreadsheetColorIndex="43"/>
            </a:solidFill>
            <a:ln w="317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Cartão ou Vales de Refeição</a:t>
              </a:r>
            </a:p>
          </xdr:txBody>
        </xdr:sp>
        <xdr:clientData/>
      </xdr:twoCellAnchor>
    </mc:Choice>
    <mc:Fallback/>
  </mc:AlternateContent>
  <xdr:twoCellAnchor editAs="oneCell">
    <xdr:from>
      <xdr:col>1</xdr:col>
      <xdr:colOff>266700</xdr:colOff>
      <xdr:row>13</xdr:row>
      <xdr:rowOff>66674</xdr:rowOff>
    </xdr:from>
    <xdr:to>
      <xdr:col>3</xdr:col>
      <xdr:colOff>135346</xdr:colOff>
      <xdr:row>14</xdr:row>
      <xdr:rowOff>149678</xdr:rowOff>
    </xdr:to>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a:off x="507093" y="3336924"/>
          <a:ext cx="1379764" cy="318861"/>
        </a:xfrm>
        <a:prstGeom prst="rect">
          <a:avLst/>
        </a:prstGeom>
        <a:solidFill>
          <a:schemeClr val="accent4">
            <a:lumMod val="20000"/>
            <a:lumOff val="80000"/>
          </a:schemeClr>
        </a:solidFill>
        <a:ln w="6350">
          <a:solidFill>
            <a:srgbClr val="000000"/>
          </a:solidFill>
          <a:miter lim="800000"/>
          <a:headEnd/>
          <a:tailEnd/>
        </a:ln>
      </xdr:spPr>
      <xdr:txBody>
        <a:bodyPr vertOverflow="clip" wrap="square" lIns="27432" tIns="22860" rIns="0" bIns="0" anchor="ctr" upright="1"/>
        <a:lstStyle/>
        <a:p>
          <a:pPr algn="ctr" rtl="0">
            <a:defRPr sz="1000"/>
          </a:pPr>
          <a:r>
            <a:rPr lang="pt-PT" sz="800" b="0" i="0" u="none" strike="noStrike" baseline="0">
              <a:solidFill>
                <a:srgbClr val="000000"/>
              </a:solidFill>
              <a:latin typeface="Roboto" panose="02000000000000000000" pitchFamily="2" charset="0"/>
              <a:ea typeface="Roboto" panose="02000000000000000000" pitchFamily="2" charset="0"/>
            </a:rPr>
            <a:t>SENDO DA FUNÇ. PÚBLICA DESCONTANDO 3,5% ADSE</a:t>
          </a:r>
        </a:p>
      </xdr:txBody>
    </xdr:sp>
    <xdr:clientData/>
  </xdr:twoCellAnchor>
  <xdr:twoCellAnchor editAs="oneCell">
    <xdr:from>
      <xdr:col>1</xdr:col>
      <xdr:colOff>287269</xdr:colOff>
      <xdr:row>7</xdr:row>
      <xdr:rowOff>198508</xdr:rowOff>
    </xdr:from>
    <xdr:to>
      <xdr:col>2</xdr:col>
      <xdr:colOff>362723</xdr:colOff>
      <xdr:row>8</xdr:row>
      <xdr:rowOff>130810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30226" y="2296769"/>
          <a:ext cx="839165" cy="165927"/>
        </a:xfrm>
        <a:prstGeom prst="rect">
          <a:avLst/>
        </a:prstGeom>
        <a:solidFill>
          <a:schemeClr val="accent4">
            <a:lumMod val="20000"/>
            <a:lumOff val="80000"/>
          </a:schemeClr>
        </a:solidFill>
        <a:ln w="6350">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pt-PT" sz="800" b="0" i="0" u="none" strike="noStrike" kern="0" cap="none" spc="0" normalizeH="0" baseline="0" noProof="0">
              <a:ln>
                <a:noFill/>
              </a:ln>
              <a:solidFill>
                <a:srgbClr val="000000"/>
              </a:solidFill>
              <a:effectLst/>
              <a:uLnTx/>
              <a:uFillTx/>
              <a:latin typeface="Roboto" panose="02000000000000000000" pitchFamily="2" charset="0"/>
              <a:ea typeface="Roboto" panose="02000000000000000000" pitchFamily="2" charset="0"/>
            </a:rPr>
            <a:t>Quotas Sindicato</a:t>
          </a:r>
        </a:p>
      </xdr:txBody>
    </xdr:sp>
    <xdr:clientData/>
  </xdr:twoCellAnchor>
  <xdr:twoCellAnchor editAs="oneCell">
    <xdr:from>
      <xdr:col>1</xdr:col>
      <xdr:colOff>685800</xdr:colOff>
      <xdr:row>8</xdr:row>
      <xdr:rowOff>228600</xdr:rowOff>
    </xdr:from>
    <xdr:to>
      <xdr:col>3</xdr:col>
      <xdr:colOff>117929</xdr:colOff>
      <xdr:row>9</xdr:row>
      <xdr:rowOff>173808</xdr:rowOff>
    </xdr:to>
    <xdr:sp macro="" textlink="">
      <xdr:nvSpPr>
        <xdr:cNvPr id="11" name="Text Box 9">
          <a:extLst>
            <a:ext uri="{FF2B5EF4-FFF2-40B4-BE49-F238E27FC236}">
              <a16:creationId xmlns:a16="http://schemas.microsoft.com/office/drawing/2014/main" id="{00000000-0008-0000-0000-00000B000000}"/>
            </a:ext>
          </a:extLst>
        </xdr:cNvPr>
        <xdr:cNvSpPr txBox="1">
          <a:spLocks noChangeArrowheads="1"/>
        </xdr:cNvSpPr>
      </xdr:nvSpPr>
      <xdr:spPr bwMode="auto">
        <a:xfrm>
          <a:off x="926193" y="2555421"/>
          <a:ext cx="947057" cy="188686"/>
        </a:xfrm>
        <a:prstGeom prst="rect">
          <a:avLst/>
        </a:prstGeom>
        <a:solidFill>
          <a:schemeClr val="accent4">
            <a:lumMod val="20000"/>
            <a:lumOff val="80000"/>
          </a:schemeClr>
        </a:solidFill>
        <a:ln w="63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pt-PT" sz="800" b="0" i="0" u="none" strike="noStrike" kern="0" cap="none" spc="0" normalizeH="0" baseline="0" noProof="0">
              <a:ln>
                <a:noFill/>
              </a:ln>
              <a:solidFill>
                <a:srgbClr val="000000"/>
              </a:solidFill>
              <a:effectLst/>
              <a:uLnTx/>
              <a:uFillTx/>
              <a:latin typeface="Roboto" panose="02000000000000000000" pitchFamily="2" charset="0"/>
              <a:ea typeface="Roboto" panose="02000000000000000000" pitchFamily="2" charset="0"/>
            </a:rPr>
            <a:t>Nº Horas Semanais</a:t>
          </a:r>
        </a:p>
      </xdr:txBody>
    </xdr:sp>
    <xdr:clientData/>
  </xdr:twoCellAnchor>
  <xdr:twoCellAnchor editAs="oneCell">
    <xdr:from>
      <xdr:col>1</xdr:col>
      <xdr:colOff>122463</xdr:colOff>
      <xdr:row>0</xdr:row>
      <xdr:rowOff>158749</xdr:rowOff>
    </xdr:from>
    <xdr:to>
      <xdr:col>3</xdr:col>
      <xdr:colOff>17653</xdr:colOff>
      <xdr:row>0</xdr:row>
      <xdr:rowOff>453570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2856" y="158749"/>
          <a:ext cx="1423453" cy="2948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6600"/>
    <pageSetUpPr autoPageBreaks="0" fitToPage="1"/>
  </sheetPr>
  <dimension ref="A1:IM1525"/>
  <sheetViews>
    <sheetView showGridLines="0" tabSelected="1" zoomScale="110" zoomScaleNormal="110" workbookViewId="0">
      <selection activeCell="I14" sqref="I14"/>
    </sheetView>
  </sheetViews>
  <sheetFormatPr defaultColWidth="0" defaultRowHeight="14.5" x14ac:dyDescent="0.35"/>
  <cols>
    <col min="1" max="1" width="3.453125" style="235" customWidth="1"/>
    <col min="2" max="2" width="11" style="244" customWidth="1"/>
    <col min="3" max="3" width="10.81640625" style="244" customWidth="1"/>
    <col min="4" max="4" width="16.453125" style="244" customWidth="1"/>
    <col min="5" max="5" width="17.81640625" style="244" customWidth="1"/>
    <col min="6" max="6" width="14.54296875" style="244" customWidth="1"/>
    <col min="7" max="7" width="18.81640625" style="244" customWidth="1"/>
    <col min="8" max="8" width="19.54296875" style="244" customWidth="1"/>
    <col min="9" max="9" width="21.1796875" style="244" customWidth="1"/>
    <col min="10" max="10" width="2.1796875" style="244" customWidth="1"/>
    <col min="11" max="11" width="53.81640625" style="244" hidden="1" customWidth="1"/>
    <col min="12" max="12" width="15.1796875" style="244" hidden="1" customWidth="1"/>
    <col min="13" max="13" width="30.81640625" style="244" hidden="1" customWidth="1"/>
    <col min="14" max="18" width="15.1796875" style="244" hidden="1" customWidth="1"/>
    <col min="19" max="19" width="18.453125" style="244" hidden="1" customWidth="1"/>
    <col min="20" max="20" width="16.453125" style="244" hidden="1" customWidth="1"/>
    <col min="21" max="21" width="15.1796875" style="244" hidden="1" customWidth="1"/>
    <col min="22" max="22" width="16.1796875" style="244" hidden="1" customWidth="1"/>
    <col min="23" max="24" width="15.1796875" style="244" hidden="1" customWidth="1"/>
    <col min="25" max="25" width="20.453125" style="244" hidden="1" customWidth="1"/>
    <col min="26" max="27" width="15.1796875" style="244" hidden="1" customWidth="1"/>
    <col min="28" max="52" width="10.1796875" style="244" hidden="1" customWidth="1"/>
    <col min="53" max="53" width="3.81640625" style="244" hidden="1" customWidth="1"/>
    <col min="54" max="54" width="11" style="244" hidden="1" customWidth="1"/>
    <col min="55" max="55" width="14.453125" style="244" hidden="1" customWidth="1"/>
    <col min="56" max="56" width="10.1796875" style="244" hidden="1" customWidth="1"/>
    <col min="57" max="57" width="10" style="244" hidden="1" customWidth="1"/>
    <col min="58" max="58" width="19.1796875" style="244" hidden="1" customWidth="1"/>
    <col min="59" max="59" width="3.81640625" style="244" hidden="1" customWidth="1"/>
    <col min="60" max="62" width="10.1796875" style="244" hidden="1" customWidth="1"/>
    <col min="63" max="247" width="10.1796875" style="244" customWidth="1"/>
    <col min="248" max="16384" width="0" style="244" hidden="1"/>
  </cols>
  <sheetData>
    <row r="1" spans="1:247" s="85" customFormat="1" ht="48" customHeight="1" thickBot="1" x14ac:dyDescent="0.4">
      <c r="A1" s="71"/>
      <c r="B1" s="405" t="s">
        <v>259</v>
      </c>
      <c r="C1" s="406"/>
      <c r="D1" s="406"/>
      <c r="E1" s="406"/>
      <c r="F1" s="406"/>
      <c r="G1" s="406"/>
      <c r="H1" s="406"/>
      <c r="I1" s="407"/>
      <c r="J1" s="72"/>
      <c r="K1" s="73"/>
      <c r="L1" s="74" t="s">
        <v>36</v>
      </c>
      <c r="M1" s="75"/>
      <c r="N1" s="76" t="s">
        <v>37</v>
      </c>
      <c r="O1" s="76" t="s">
        <v>38</v>
      </c>
      <c r="P1" s="76"/>
      <c r="Q1" s="75"/>
      <c r="R1" s="75"/>
      <c r="S1" s="75"/>
      <c r="T1" s="77"/>
      <c r="U1" s="78"/>
      <c r="V1" s="79">
        <v>14</v>
      </c>
      <c r="W1" s="79">
        <f>INDEX(U2:U20,V1)</f>
        <v>40</v>
      </c>
      <c r="X1" s="80"/>
      <c r="Y1" s="81" t="s">
        <v>252</v>
      </c>
      <c r="Z1" s="81"/>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82"/>
      <c r="BC1" s="83"/>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row>
    <row r="2" spans="1:247" s="85" customFormat="1" ht="18.75" customHeight="1" x14ac:dyDescent="0.35">
      <c r="A2" s="86">
        <v>1</v>
      </c>
      <c r="B2" s="87"/>
      <c r="C2" s="88"/>
      <c r="D2" s="88"/>
      <c r="E2" s="305"/>
      <c r="F2" s="306"/>
      <c r="G2" s="312"/>
      <c r="H2" s="313" t="s">
        <v>39</v>
      </c>
      <c r="I2" s="395">
        <v>1</v>
      </c>
      <c r="J2" s="89"/>
      <c r="K2" s="90" t="s">
        <v>40</v>
      </c>
      <c r="L2" s="91">
        <f>SUM(N2:N16)</f>
        <v>1590.96</v>
      </c>
      <c r="M2" s="92" t="s">
        <v>41</v>
      </c>
      <c r="N2" s="93">
        <f>IF(I4="",0,I4)</f>
        <v>1575</v>
      </c>
      <c r="O2" s="94">
        <f>IF(H36="",0,H36)</f>
        <v>1575</v>
      </c>
      <c r="P2" s="95" t="s">
        <v>42</v>
      </c>
      <c r="Q2" s="96" t="s">
        <v>43</v>
      </c>
      <c r="R2" s="75"/>
      <c r="S2" s="96" t="s">
        <v>44</v>
      </c>
      <c r="T2" s="97" t="s">
        <v>45</v>
      </c>
      <c r="U2" s="98">
        <v>20</v>
      </c>
      <c r="V2" s="80"/>
      <c r="W2" s="80"/>
      <c r="X2" s="80"/>
      <c r="Y2" s="81" t="s">
        <v>251</v>
      </c>
      <c r="Z2" s="81"/>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99" t="s">
        <v>46</v>
      </c>
      <c r="BC2" s="83"/>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row>
    <row r="3" spans="1:247" s="85" customFormat="1" ht="18.75" customHeight="1" x14ac:dyDescent="0.35">
      <c r="A3" s="71"/>
      <c r="B3" s="408"/>
      <c r="C3" s="409"/>
      <c r="D3" s="410"/>
      <c r="E3" s="307"/>
      <c r="F3" s="308"/>
      <c r="G3" s="314"/>
      <c r="H3" s="315" t="s">
        <v>47</v>
      </c>
      <c r="I3" s="396">
        <v>0</v>
      </c>
      <c r="J3" s="89"/>
      <c r="K3" s="90" t="s">
        <v>48</v>
      </c>
      <c r="L3" s="101">
        <f>IF(L2&lt;IF(IF(L2&lt;=2000,(L2-(L2*(0.025+((0.12-0.025)*((L2-675)/(2000-675)))))),(L2-(L2*0.12)))&lt;=675,675,IF(L2&lt;=2000,(L2-(L2*(0.025+((0.12-0.025)*((L2-675)/(2000-675)))))),(L2-(L2*0.12)))),L2,IF(IF(L2&lt;=2000,(L2-(L2*(0.025+((0.12-0.025)*((L2-675)/(2000-675)))))),(L2-(L2*0.12)))&lt;=675,675,IF(L2&lt;=2000,(L2-(L2*(0.025+((0.12-0.025)*((L2-675)/(2000-675)))))),(L2-(L2*0.12)))))</f>
        <v>1446.7035143003773</v>
      </c>
      <c r="M3" s="102" t="s">
        <v>49</v>
      </c>
      <c r="N3" s="103">
        <f>I18*P5</f>
        <v>0</v>
      </c>
      <c r="O3" s="104">
        <f>N3</f>
        <v>0</v>
      </c>
      <c r="P3" s="105">
        <f>IF(A2&gt;6,(IF(I4&gt;0,L6*12/52/W1,0)),0)+IF(A2&lt;7,(IF(I4&gt;0,(N2+N15)*12/52/W1,0)),0)</f>
        <v>9.0865384615384617</v>
      </c>
      <c r="Q3" s="106">
        <f>I14</f>
        <v>7.63</v>
      </c>
      <c r="R3" s="75"/>
      <c r="S3" s="107">
        <f>(INDEX(Y7:AC18,A18,5)*(R11-N8))</f>
        <v>175.00560000000002</v>
      </c>
      <c r="T3" s="108">
        <f>IF(A2&gt;6,IF(A19=TRUE,R11*0.035,0),0)</f>
        <v>0</v>
      </c>
      <c r="U3" s="109">
        <v>25</v>
      </c>
      <c r="V3" s="80"/>
      <c r="W3" s="80"/>
      <c r="X3" s="80"/>
      <c r="Y3" s="81" t="s">
        <v>258</v>
      </c>
      <c r="Z3" s="81"/>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82" t="s">
        <v>50</v>
      </c>
      <c r="BC3" s="83"/>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row>
    <row r="4" spans="1:247" s="85" customFormat="1" ht="24" customHeight="1" x14ac:dyDescent="0.35">
      <c r="A4" s="71"/>
      <c r="B4" s="411"/>
      <c r="C4" s="412"/>
      <c r="D4" s="413"/>
      <c r="E4" s="110"/>
      <c r="F4" s="111"/>
      <c r="G4" s="111"/>
      <c r="H4" s="394" t="s">
        <v>262</v>
      </c>
      <c r="I4" s="113">
        <v>1575</v>
      </c>
      <c r="J4" s="89"/>
      <c r="K4" s="90"/>
      <c r="L4" s="114" t="s">
        <v>51</v>
      </c>
      <c r="M4" s="102" t="s">
        <v>52</v>
      </c>
      <c r="N4" s="103">
        <f>I19*P7</f>
        <v>0</v>
      </c>
      <c r="O4" s="104">
        <f>N4</f>
        <v>0</v>
      </c>
      <c r="P4" s="95" t="s">
        <v>53</v>
      </c>
      <c r="Q4" s="96" t="s">
        <v>54</v>
      </c>
      <c r="R4" s="97" t="s">
        <v>55</v>
      </c>
      <c r="S4" s="96" t="s">
        <v>56</v>
      </c>
      <c r="T4" s="97" t="s">
        <v>57</v>
      </c>
      <c r="U4" s="109">
        <v>30</v>
      </c>
      <c r="V4" s="80"/>
      <c r="W4" s="80"/>
      <c r="X4" s="80"/>
      <c r="Y4" s="81"/>
      <c r="Z4" s="81"/>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82"/>
      <c r="BC4" s="83"/>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row>
    <row r="5" spans="1:247" s="85" customFormat="1" ht="18.75" customHeight="1" thickBot="1" x14ac:dyDescent="0.4">
      <c r="A5" s="71"/>
      <c r="B5" s="411"/>
      <c r="C5" s="412"/>
      <c r="D5" s="413"/>
      <c r="E5" s="307"/>
      <c r="F5" s="308"/>
      <c r="G5" s="314"/>
      <c r="H5" s="315" t="s">
        <v>58</v>
      </c>
      <c r="I5" s="397"/>
      <c r="J5" s="89"/>
      <c r="K5" s="90" t="s">
        <v>59</v>
      </c>
      <c r="L5" s="115">
        <f>N2+N15</f>
        <v>1575</v>
      </c>
      <c r="M5" s="102" t="s">
        <v>60</v>
      </c>
      <c r="N5" s="103">
        <f>I20*P9</f>
        <v>0</v>
      </c>
      <c r="O5" s="104">
        <f>N5</f>
        <v>0</v>
      </c>
      <c r="P5" s="105">
        <f>P3+P3*0.125</f>
        <v>10.22235576923077</v>
      </c>
      <c r="Q5" s="107">
        <f>IF(A14=TRUE,4.27*1.6,4.27)</f>
        <v>6.8319999999999999</v>
      </c>
      <c r="R5" s="116">
        <f>IF(A16=TRUE,(L10+IF(A2&gt;6,L10/12,0)+IF(A21=TRUE,L10/12,0))*0.01,0)</f>
        <v>0</v>
      </c>
      <c r="S5" s="107">
        <f>(INDEX(Y7:AC18,A18,5)*L8)+(INDEX(Y7:AC18,A18,5)*L16)</f>
        <v>0</v>
      </c>
      <c r="T5" s="108">
        <f>IF(A2&gt;6,IF(A19=TRUE,L8*0.035,0),0)</f>
        <v>0</v>
      </c>
      <c r="U5" s="109">
        <v>35</v>
      </c>
      <c r="V5" s="80"/>
      <c r="W5" s="80"/>
      <c r="X5" s="80"/>
      <c r="Y5" s="81"/>
      <c r="Z5" s="81"/>
      <c r="AA5" s="75"/>
      <c r="AB5" s="75"/>
      <c r="AC5" s="75"/>
      <c r="AD5" s="75"/>
      <c r="AE5" s="117" t="s">
        <v>61</v>
      </c>
      <c r="AF5" s="75"/>
      <c r="AG5" s="75"/>
      <c r="AH5" s="75"/>
      <c r="AI5" s="75"/>
      <c r="AJ5" s="75"/>
      <c r="AK5" s="75"/>
      <c r="AL5" s="75"/>
      <c r="AM5" s="75"/>
      <c r="AN5" s="75"/>
      <c r="AO5" s="75"/>
      <c r="AP5" s="75"/>
      <c r="AQ5" s="75"/>
      <c r="AR5" s="75"/>
      <c r="AS5" s="75"/>
      <c r="AT5" s="75"/>
      <c r="AU5" s="75"/>
      <c r="AV5" s="75"/>
      <c r="AW5" s="75"/>
      <c r="AX5" s="75"/>
      <c r="AY5" s="75"/>
      <c r="AZ5" s="75"/>
      <c r="BA5" s="75"/>
      <c r="BB5" s="82"/>
      <c r="BC5" s="83"/>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row>
    <row r="6" spans="1:247" s="85" customFormat="1" ht="18.75" customHeight="1" thickBot="1" x14ac:dyDescent="0.4">
      <c r="A6" s="71"/>
      <c r="B6" s="411"/>
      <c r="C6" s="412"/>
      <c r="D6" s="413"/>
      <c r="E6" s="307"/>
      <c r="F6" s="308"/>
      <c r="G6" s="314"/>
      <c r="H6" s="315" t="s">
        <v>62</v>
      </c>
      <c r="I6" s="391">
        <f>SUM(I7:I11)</f>
        <v>0</v>
      </c>
      <c r="J6" s="89"/>
      <c r="K6" s="90" t="s">
        <v>63</v>
      </c>
      <c r="L6" s="118">
        <f>IF(L5&lt;1500,L5,IF(L5-(IF(L5&lt;2000,L5*0.035,0))-(IF(L5&gt;=2000,IF(L5&lt;4165,2000*0.035,0),0))-(IF(L5&gt;=4165,(L5*0.1),IF(L5&gt;=2000,(L5-2000)*0.16,0)))&gt;=1500,L5-(IF(L5&lt;2000,L5*0.035,0))-(IF(L5&gt;=2000,IF(L5&lt;4165,2000*0.035,0),0))-(IF(L5&gt;=4165,(L5*0.1),IF(L5&gt;=2000,(L5-2000)*0.16,0))),1500))</f>
        <v>1519.875</v>
      </c>
      <c r="M6" s="102" t="s">
        <v>64</v>
      </c>
      <c r="N6" s="103">
        <f>I21*P11</f>
        <v>0</v>
      </c>
      <c r="O6" s="104">
        <f>N6</f>
        <v>0</v>
      </c>
      <c r="P6" s="95" t="s">
        <v>65</v>
      </c>
      <c r="Q6" s="96" t="s">
        <v>66</v>
      </c>
      <c r="R6" s="97" t="s">
        <v>67</v>
      </c>
      <c r="S6" s="96" t="s">
        <v>68</v>
      </c>
      <c r="T6" s="97" t="s">
        <v>69</v>
      </c>
      <c r="U6" s="109">
        <v>35.5</v>
      </c>
      <c r="V6" s="80"/>
      <c r="W6" s="80"/>
      <c r="X6" s="80"/>
      <c r="Y6" s="81"/>
      <c r="Z6" s="81"/>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414" t="s">
        <v>70</v>
      </c>
      <c r="BC6" s="415"/>
      <c r="BD6" s="414" t="s">
        <v>71</v>
      </c>
      <c r="BE6" s="415"/>
      <c r="BF6" s="119" t="s">
        <v>72</v>
      </c>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row>
    <row r="7" spans="1:247" s="85" customFormat="1" ht="18.75" customHeight="1" thickBot="1" x14ac:dyDescent="0.4">
      <c r="A7" s="71"/>
      <c r="B7" s="120"/>
      <c r="C7" s="121"/>
      <c r="D7" s="121"/>
      <c r="E7" s="307"/>
      <c r="F7" s="308"/>
      <c r="G7" s="314"/>
      <c r="H7" s="314" t="s">
        <v>73</v>
      </c>
      <c r="I7" s="398">
        <v>0</v>
      </c>
      <c r="J7" s="89"/>
      <c r="K7" s="90" t="s">
        <v>74</v>
      </c>
      <c r="L7" s="122">
        <f>L5/12</f>
        <v>131.25</v>
      </c>
      <c r="M7" s="102" t="s">
        <v>75</v>
      </c>
      <c r="N7" s="123">
        <f>INT(((I22*P13)*100)+0.99)/100</f>
        <v>0</v>
      </c>
      <c r="O7" s="104">
        <f>N7</f>
        <v>0</v>
      </c>
      <c r="P7" s="105">
        <f>P3+P3*0.1875</f>
        <v>10.790264423076923</v>
      </c>
      <c r="Q7" s="106">
        <f>IF(Q3&gt;Q5,Q3-Q5,0)</f>
        <v>0.79800000000000004</v>
      </c>
      <c r="R7" s="116">
        <f>I25</f>
        <v>0</v>
      </c>
      <c r="S7" s="106" t="e">
        <v>#REF!</v>
      </c>
      <c r="T7" s="108">
        <v>0</v>
      </c>
      <c r="U7" s="109">
        <v>36</v>
      </c>
      <c r="V7" s="80"/>
      <c r="W7" s="80"/>
      <c r="X7" s="80"/>
      <c r="Y7" s="124" t="s">
        <v>76</v>
      </c>
      <c r="Z7" s="125"/>
      <c r="AA7" s="126"/>
      <c r="AB7" s="126"/>
      <c r="AC7" s="127">
        <v>0.11</v>
      </c>
      <c r="AD7" s="75"/>
      <c r="AE7" s="128" t="s">
        <v>77</v>
      </c>
      <c r="AF7" s="75"/>
      <c r="AG7" s="75"/>
      <c r="AH7" s="75"/>
      <c r="AI7" s="75"/>
      <c r="AJ7" s="75"/>
      <c r="AK7" s="75"/>
      <c r="AL7" s="75"/>
      <c r="AM7" s="75"/>
      <c r="AN7" s="75"/>
      <c r="AO7" s="75"/>
      <c r="AP7" s="75"/>
      <c r="AQ7" s="75"/>
      <c r="AR7" s="75"/>
      <c r="AS7" s="75"/>
      <c r="AT7" s="75"/>
      <c r="AU7" s="75"/>
      <c r="AV7" s="75"/>
      <c r="AW7" s="75"/>
      <c r="AX7" s="75"/>
      <c r="AY7" s="75"/>
      <c r="AZ7" s="75"/>
      <c r="BA7" s="75"/>
      <c r="BB7" s="422">
        <f>+G62</f>
        <v>23.739999999999995</v>
      </c>
      <c r="BC7" s="423"/>
      <c r="BD7" s="424">
        <f>+H62</f>
        <v>1727.6</v>
      </c>
      <c r="BE7" s="425"/>
      <c r="BF7" s="129">
        <f>+I62</f>
        <v>410.01</v>
      </c>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row>
    <row r="8" spans="1:247" s="85" customFormat="1" ht="18.75" customHeight="1" x14ac:dyDescent="0.35">
      <c r="A8" s="71"/>
      <c r="B8" s="130"/>
      <c r="C8" s="121"/>
      <c r="D8" s="121"/>
      <c r="E8" s="307"/>
      <c r="F8" s="308"/>
      <c r="G8" s="314"/>
      <c r="H8" s="314" t="s">
        <v>78</v>
      </c>
      <c r="I8" s="398">
        <v>0</v>
      </c>
      <c r="J8" s="89"/>
      <c r="K8" s="90" t="s">
        <v>79</v>
      </c>
      <c r="L8" s="131">
        <f>IF(A2&lt;-1,IF(I4&gt;0, L6/12,0),0)</f>
        <v>0</v>
      </c>
      <c r="M8" s="132" t="s">
        <v>80</v>
      </c>
      <c r="N8" s="103">
        <f>I23</f>
        <v>0</v>
      </c>
      <c r="O8" s="104">
        <f>I23</f>
        <v>0</v>
      </c>
      <c r="P8" s="95" t="s">
        <v>81</v>
      </c>
      <c r="Q8" s="96" t="s">
        <v>82</v>
      </c>
      <c r="R8" s="133" t="s">
        <v>83</v>
      </c>
      <c r="S8" s="96" t="s">
        <v>84</v>
      </c>
      <c r="T8" s="96" t="s">
        <v>85</v>
      </c>
      <c r="U8" s="109">
        <v>36.5</v>
      </c>
      <c r="V8" s="80"/>
      <c r="W8" s="80"/>
      <c r="X8" s="80"/>
      <c r="Y8" s="134" t="s">
        <v>86</v>
      </c>
      <c r="Z8" s="81"/>
      <c r="AA8" s="75"/>
      <c r="AB8" s="75"/>
      <c r="AC8" s="135">
        <v>9.2999999999999999E-2</v>
      </c>
      <c r="AD8" s="75"/>
      <c r="AE8" s="128" t="s">
        <v>87</v>
      </c>
      <c r="AF8" s="75"/>
      <c r="AG8" s="75"/>
      <c r="AH8" s="75"/>
      <c r="AI8" s="75"/>
      <c r="AJ8" s="75"/>
      <c r="AK8" s="75"/>
      <c r="AL8" s="75"/>
      <c r="AM8" s="75"/>
      <c r="AN8" s="75"/>
      <c r="AO8" s="75"/>
      <c r="AP8" s="75"/>
      <c r="AQ8" s="75"/>
      <c r="AR8" s="75"/>
      <c r="AS8" s="75"/>
      <c r="AT8" s="75"/>
      <c r="AU8" s="75"/>
      <c r="AV8" s="75"/>
      <c r="AW8" s="75"/>
      <c r="AX8" s="75"/>
      <c r="AY8" s="75"/>
      <c r="AZ8" s="75"/>
      <c r="BA8" s="75"/>
      <c r="BB8" s="136" t="s">
        <v>88</v>
      </c>
      <c r="BC8" s="137"/>
      <c r="BD8" s="138"/>
      <c r="BE8" s="139"/>
      <c r="BF8" s="140">
        <f>+I63</f>
        <v>1727.6</v>
      </c>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row>
    <row r="9" spans="1:247" s="85" customFormat="1" ht="18.75" customHeight="1" thickBot="1" x14ac:dyDescent="0.4">
      <c r="A9" s="71"/>
      <c r="B9" s="130"/>
      <c r="C9" s="121"/>
      <c r="D9" s="121"/>
      <c r="E9" s="307"/>
      <c r="F9" s="308"/>
      <c r="G9" s="314"/>
      <c r="H9" s="314" t="s">
        <v>89</v>
      </c>
      <c r="I9" s="398">
        <v>0</v>
      </c>
      <c r="J9" s="89"/>
      <c r="K9" s="90" t="s">
        <v>90</v>
      </c>
      <c r="L9" s="141">
        <f>I4</f>
        <v>1575</v>
      </c>
      <c r="M9" s="132" t="s">
        <v>91</v>
      </c>
      <c r="N9" s="103">
        <f>I6</f>
        <v>0</v>
      </c>
      <c r="O9" s="104">
        <f>I6</f>
        <v>0</v>
      </c>
      <c r="P9" s="142">
        <f>P3+P3*0.25</f>
        <v>11.358173076923077</v>
      </c>
      <c r="Q9" s="106">
        <f>I17*Q3</f>
        <v>0</v>
      </c>
      <c r="R9" s="143">
        <f>O17</f>
        <v>1727.6</v>
      </c>
      <c r="S9" s="144">
        <f>(INT((S3+0.005)*100)/100)+(INT((S5+0.005)*100)/100)</f>
        <v>175.01</v>
      </c>
      <c r="T9" s="144">
        <f>(INT((T3+0.005)*100)/100)+(INT((T5+0.005)*100)/100)</f>
        <v>0</v>
      </c>
      <c r="U9" s="109">
        <v>37</v>
      </c>
      <c r="V9" s="80"/>
      <c r="W9" s="80"/>
      <c r="X9" s="80"/>
      <c r="Y9" s="134" t="s">
        <v>92</v>
      </c>
      <c r="Z9" s="81"/>
      <c r="AA9" s="75"/>
      <c r="AB9" s="75"/>
      <c r="AC9" s="135">
        <v>9.2999999999999999E-2</v>
      </c>
      <c r="AD9" s="75"/>
      <c r="AE9" s="128" t="s">
        <v>93</v>
      </c>
      <c r="AF9" s="75"/>
      <c r="AG9" s="75"/>
      <c r="AH9" s="75"/>
      <c r="AI9" s="75"/>
      <c r="AJ9" s="75"/>
      <c r="AK9" s="75"/>
      <c r="AL9" s="75"/>
      <c r="AM9" s="75"/>
      <c r="AN9" s="75"/>
      <c r="AO9" s="75"/>
      <c r="AP9" s="75"/>
      <c r="AQ9" s="75"/>
      <c r="AR9" s="75"/>
      <c r="AS9" s="75"/>
      <c r="AT9" s="75"/>
      <c r="AU9" s="75"/>
      <c r="AV9" s="75"/>
      <c r="AW9" s="75"/>
      <c r="AX9" s="75"/>
      <c r="AY9" s="75"/>
      <c r="AZ9" s="75"/>
      <c r="BA9" s="75"/>
      <c r="BB9" s="145" t="s">
        <v>94</v>
      </c>
      <c r="BC9" s="146"/>
      <c r="BD9" s="147"/>
      <c r="BE9" s="148"/>
      <c r="BF9" s="149">
        <f>+I67</f>
        <v>410.01</v>
      </c>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row>
    <row r="10" spans="1:247" s="85" customFormat="1" ht="18.75" customHeight="1" x14ac:dyDescent="0.35">
      <c r="A10" s="71"/>
      <c r="B10" s="130"/>
      <c r="C10" s="121"/>
      <c r="D10" s="121"/>
      <c r="E10" s="307"/>
      <c r="F10" s="308"/>
      <c r="G10" s="314"/>
      <c r="H10" s="314" t="s">
        <v>95</v>
      </c>
      <c r="I10" s="398">
        <v>0</v>
      </c>
      <c r="J10" s="89"/>
      <c r="K10" s="90" t="s">
        <v>96</v>
      </c>
      <c r="L10" s="150">
        <f>IF(A2&gt;6,(L9)-(IF((L9)&lt;2000,IF((L9)-((L9)*0.035)&lt;1500,0,(L9)*0.035),0)+IF((L9)&gt;=2000,IF((L9)&lt;4165,2000*0.035,0),0)+IF((L9)&gt;=4165,((L9)*0.1),IF((L9)&gt;=2000,((L9)-2000)*0.16,0))),L9)</f>
        <v>1575</v>
      </c>
      <c r="M10" s="132" t="s">
        <v>97</v>
      </c>
      <c r="N10" s="151">
        <f>IF(I58="",0,I58*-1)</f>
        <v>0</v>
      </c>
      <c r="O10" s="104">
        <f>IF(I58="",0,I58*-1)</f>
        <v>0</v>
      </c>
      <c r="P10" s="95" t="s">
        <v>98</v>
      </c>
      <c r="Q10" s="152" t="s">
        <v>99</v>
      </c>
      <c r="R10" s="133" t="s">
        <v>100</v>
      </c>
      <c r="S10" s="75"/>
      <c r="T10" s="77"/>
      <c r="U10" s="109">
        <v>37.5</v>
      </c>
      <c r="V10" s="80"/>
      <c r="W10" s="80"/>
      <c r="X10" s="80"/>
      <c r="Y10" s="134" t="s">
        <v>101</v>
      </c>
      <c r="Z10" s="81"/>
      <c r="AA10" s="75"/>
      <c r="AB10" s="75"/>
      <c r="AC10" s="135">
        <v>0.11</v>
      </c>
      <c r="AD10" s="75"/>
      <c r="AE10" s="128" t="s">
        <v>102</v>
      </c>
      <c r="AF10" s="75"/>
      <c r="AG10" s="75"/>
      <c r="AH10" s="75"/>
      <c r="AI10" s="75"/>
      <c r="AJ10" s="75"/>
      <c r="AK10" s="75"/>
      <c r="AL10" s="75"/>
      <c r="AM10" s="75"/>
      <c r="AN10" s="75"/>
      <c r="AO10" s="75"/>
      <c r="AP10" s="75"/>
      <c r="AQ10" s="75"/>
      <c r="AR10" s="75"/>
      <c r="AS10" s="75"/>
      <c r="AT10" s="75"/>
      <c r="AU10" s="75"/>
      <c r="AV10" s="75"/>
      <c r="AW10" s="75"/>
      <c r="AX10" s="75"/>
      <c r="AY10" s="75"/>
      <c r="AZ10" s="75"/>
      <c r="BA10" s="75"/>
      <c r="BB10" s="426" t="s">
        <v>103</v>
      </c>
      <c r="BC10" s="427"/>
      <c r="BD10" s="427"/>
      <c r="BE10" s="428"/>
      <c r="BF10" s="400">
        <f>+I68</f>
        <v>1317.59</v>
      </c>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row>
    <row r="11" spans="1:247" s="85" customFormat="1" ht="18.75" customHeight="1" thickBot="1" x14ac:dyDescent="0.4">
      <c r="A11" s="71"/>
      <c r="B11" s="130"/>
      <c r="C11" s="121"/>
      <c r="D11" s="121"/>
      <c r="E11" s="307"/>
      <c r="F11" s="308"/>
      <c r="G11" s="314"/>
      <c r="H11" s="314" t="s">
        <v>104</v>
      </c>
      <c r="I11" s="398">
        <v>0</v>
      </c>
      <c r="J11" s="89"/>
      <c r="K11" s="90"/>
      <c r="L11" s="153" t="s">
        <v>105</v>
      </c>
      <c r="M11" s="132" t="s">
        <v>106</v>
      </c>
      <c r="N11" s="103">
        <f>IF(I15*Q3-I15*Q5&lt;0,0,I15*Q3-I15*Q5)</f>
        <v>15.960000000000008</v>
      </c>
      <c r="O11" s="104">
        <f>N11</f>
        <v>15.960000000000008</v>
      </c>
      <c r="P11" s="105">
        <f>P3+P3*0.375</f>
        <v>12.493990384615385</v>
      </c>
      <c r="Q11" s="154">
        <f>T69+T114+T160+T206+T251+T297+T342+T387+T433+T471+T508+T546+T584+T621+T659+T696+T733+T771+T817+T862+T908+T946+T983+T1021+T1067+T1112+T1158+T1196+T1233+T1271+T1319+T1364+T1410+T1448+T1485+T1523</f>
        <v>0.14799999999999999</v>
      </c>
      <c r="R11" s="106">
        <f>N17</f>
        <v>1590.96</v>
      </c>
      <c r="S11" s="75"/>
      <c r="T11" s="77"/>
      <c r="U11" s="109">
        <v>38</v>
      </c>
      <c r="V11" s="80"/>
      <c r="W11" s="80"/>
      <c r="X11" s="80"/>
      <c r="Y11" s="134" t="s">
        <v>107</v>
      </c>
      <c r="Z11" s="81"/>
      <c r="AA11" s="75"/>
      <c r="AB11" s="75"/>
      <c r="AC11" s="135">
        <v>0</v>
      </c>
      <c r="AD11" s="75"/>
      <c r="AE11" s="128" t="s">
        <v>108</v>
      </c>
      <c r="AF11" s="75"/>
      <c r="AG11" s="75"/>
      <c r="AH11" s="75"/>
      <c r="AI11" s="75"/>
      <c r="AJ11" s="75"/>
      <c r="AK11" s="75"/>
      <c r="AL11" s="75"/>
      <c r="AM11" s="75"/>
      <c r="AN11" s="75"/>
      <c r="AO11" s="75"/>
      <c r="AP11" s="75"/>
      <c r="AQ11" s="75"/>
      <c r="AR11" s="75"/>
      <c r="AS11" s="75"/>
      <c r="AT11" s="75"/>
      <c r="AU11" s="75"/>
      <c r="AV11" s="75"/>
      <c r="AW11" s="75"/>
      <c r="AX11" s="75"/>
      <c r="AY11" s="75"/>
      <c r="AZ11" s="75"/>
      <c r="BA11" s="75"/>
      <c r="BB11" s="429"/>
      <c r="BC11" s="430"/>
      <c r="BD11" s="430"/>
      <c r="BE11" s="431"/>
      <c r="BF11" s="401"/>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row>
    <row r="12" spans="1:247" s="85" customFormat="1" ht="18.75" hidden="1" customHeight="1" x14ac:dyDescent="0.35">
      <c r="A12" s="71"/>
      <c r="B12" s="130"/>
      <c r="C12" s="121"/>
      <c r="D12" s="121"/>
      <c r="E12" s="155"/>
      <c r="F12" s="156"/>
      <c r="G12" s="156"/>
      <c r="H12" s="157"/>
      <c r="I12" s="100"/>
      <c r="J12" s="89"/>
      <c r="K12" s="90"/>
      <c r="L12" s="158">
        <f>L2-L3</f>
        <v>144.25648569962277</v>
      </c>
      <c r="M12" s="132" t="s">
        <v>109</v>
      </c>
      <c r="N12" s="103"/>
      <c r="O12" s="104">
        <f>IF(I15*Q3&lt;I15*Q5,I15*Q3,I15*Q5)</f>
        <v>136.63999999999999</v>
      </c>
      <c r="P12" s="95" t="s">
        <v>110</v>
      </c>
      <c r="Q12" s="96" t="s">
        <v>111</v>
      </c>
      <c r="R12" s="96" t="s">
        <v>112</v>
      </c>
      <c r="S12" s="96" t="s">
        <v>113</v>
      </c>
      <c r="T12" s="153" t="s">
        <v>114</v>
      </c>
      <c r="U12" s="109">
        <v>38.5</v>
      </c>
      <c r="V12" s="80"/>
      <c r="W12" s="80"/>
      <c r="X12" s="80"/>
      <c r="Y12" s="134" t="s">
        <v>115</v>
      </c>
      <c r="Z12" s="81"/>
      <c r="AA12" s="75"/>
      <c r="AB12" s="75"/>
      <c r="AC12" s="135">
        <v>8.8999999999999996E-2</v>
      </c>
      <c r="AD12" s="75"/>
      <c r="AE12" s="128" t="s">
        <v>116</v>
      </c>
      <c r="AF12" s="75"/>
      <c r="AG12" s="75"/>
      <c r="AH12" s="75"/>
      <c r="AI12" s="75"/>
      <c r="AJ12" s="75"/>
      <c r="AK12" s="75"/>
      <c r="AL12" s="75"/>
      <c r="AM12" s="75"/>
      <c r="AN12" s="75"/>
      <c r="AO12" s="75"/>
      <c r="AP12" s="75"/>
      <c r="AQ12" s="75"/>
      <c r="AR12" s="75"/>
      <c r="AS12" s="75"/>
      <c r="AT12" s="75"/>
      <c r="AU12" s="75"/>
      <c r="AV12" s="75"/>
      <c r="AW12" s="75"/>
      <c r="AX12" s="75"/>
      <c r="AY12" s="75"/>
      <c r="AZ12" s="75"/>
      <c r="BA12" s="75"/>
      <c r="BB12" s="159"/>
      <c r="BC12" s="83"/>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row>
    <row r="13" spans="1:247" s="85" customFormat="1" ht="18.75" customHeight="1" x14ac:dyDescent="0.35">
      <c r="A13" s="71"/>
      <c r="B13" s="130"/>
      <c r="C13" s="121"/>
      <c r="D13" s="121"/>
      <c r="E13" s="110"/>
      <c r="F13" s="112"/>
      <c r="G13" s="112"/>
      <c r="H13" s="112" t="s">
        <v>261</v>
      </c>
      <c r="I13" s="302">
        <v>152.6</v>
      </c>
      <c r="J13" s="89"/>
      <c r="K13" s="90"/>
      <c r="L13" s="160">
        <f>L7-L8</f>
        <v>131.25</v>
      </c>
      <c r="M13" s="132" t="s">
        <v>117</v>
      </c>
      <c r="N13" s="103">
        <f>IF(I17*Q3-I17*Q5&lt;0,0,I17*Q3-I17*Q5)</f>
        <v>0</v>
      </c>
      <c r="O13" s="104">
        <f>N13</f>
        <v>0</v>
      </c>
      <c r="P13" s="105">
        <f>P3+P3*0.5</f>
        <v>13.629807692307693</v>
      </c>
      <c r="Q13" s="106">
        <f>(S13+S15)</f>
        <v>235</v>
      </c>
      <c r="R13" s="106">
        <f>IF(I67&gt;0,100-(INT((I63-I67)/I63*10000)/100),"0")</f>
        <v>23.739999999999995</v>
      </c>
      <c r="S13" s="106">
        <f>INT(R11*Q11)</f>
        <v>235</v>
      </c>
      <c r="T13" s="161">
        <f>IF(N17-S13-S3-T3-505&lt;0,0,N17-S13-S3-T3-505)</f>
        <v>675.95440000000008</v>
      </c>
      <c r="U13" s="109">
        <v>39</v>
      </c>
      <c r="V13" s="80"/>
      <c r="W13" s="80"/>
      <c r="X13" s="80"/>
      <c r="Y13" s="134" t="s">
        <v>118</v>
      </c>
      <c r="Z13" s="81"/>
      <c r="AA13" s="75"/>
      <c r="AB13" s="75"/>
      <c r="AC13" s="135">
        <v>7.4999999999999997E-2</v>
      </c>
      <c r="AD13" s="75"/>
      <c r="AE13" s="128" t="s">
        <v>119</v>
      </c>
      <c r="AF13" s="75"/>
      <c r="AG13" s="75"/>
      <c r="AH13" s="75"/>
      <c r="AI13" s="75"/>
      <c r="AJ13" s="75"/>
      <c r="AK13" s="75"/>
      <c r="AL13" s="75"/>
      <c r="AM13" s="75"/>
      <c r="AN13" s="75"/>
      <c r="AO13" s="75"/>
      <c r="AP13" s="75"/>
      <c r="AQ13" s="75"/>
      <c r="AR13" s="75"/>
      <c r="AS13" s="75"/>
      <c r="AT13" s="75"/>
      <c r="AU13" s="75"/>
      <c r="AV13" s="75"/>
      <c r="AW13" s="75"/>
      <c r="AX13" s="75"/>
      <c r="AY13" s="75"/>
      <c r="AZ13" s="75"/>
      <c r="BA13" s="75"/>
      <c r="BB13" s="159"/>
      <c r="BC13" s="83"/>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row>
    <row r="14" spans="1:247" s="85" customFormat="1" ht="18.75" customHeight="1" x14ac:dyDescent="0.35">
      <c r="A14" s="162" t="b">
        <v>1</v>
      </c>
      <c r="B14" s="130"/>
      <c r="C14" s="121"/>
      <c r="D14" s="316">
        <f>IF(N17&gt;0,INDEX(Y7:AC18,A18,5),"")</f>
        <v>0.11</v>
      </c>
      <c r="E14" s="307"/>
      <c r="F14" s="156"/>
      <c r="G14" s="314"/>
      <c r="H14" s="314" t="s">
        <v>120</v>
      </c>
      <c r="I14" s="391">
        <f>IF(I15=0,0,+I13/I15)</f>
        <v>7.63</v>
      </c>
      <c r="J14" s="89"/>
      <c r="K14" s="90"/>
      <c r="L14" s="141">
        <f>SUM(L12:L13)</f>
        <v>275.50648569962277</v>
      </c>
      <c r="M14" s="132" t="s">
        <v>121</v>
      </c>
      <c r="N14" s="103"/>
      <c r="O14" s="104">
        <f>IF(I17*Q3&lt;I17*Q5,I17*Q3,I17*Q5)</f>
        <v>0</v>
      </c>
      <c r="P14" s="95"/>
      <c r="Q14" s="152" t="s">
        <v>122</v>
      </c>
      <c r="R14" s="163" t="s">
        <v>123</v>
      </c>
      <c r="S14" s="96" t="s">
        <v>124</v>
      </c>
      <c r="T14" s="160">
        <f>IF(INT(0.035*T13)&lt;0,0,INT(0.035*T13))</f>
        <v>23</v>
      </c>
      <c r="U14" s="109">
        <v>39.5</v>
      </c>
      <c r="V14" s="80"/>
      <c r="W14" s="80"/>
      <c r="X14" s="80"/>
      <c r="Y14" s="134" t="s">
        <v>125</v>
      </c>
      <c r="Z14" s="81"/>
      <c r="AA14" s="75"/>
      <c r="AB14" s="75"/>
      <c r="AC14" s="135">
        <v>0.11</v>
      </c>
      <c r="AD14" s="75"/>
      <c r="AE14" s="128" t="s">
        <v>126</v>
      </c>
      <c r="AF14" s="75"/>
      <c r="AG14" s="75"/>
      <c r="AH14" s="75"/>
      <c r="AI14" s="75"/>
      <c r="AJ14" s="75"/>
      <c r="AK14" s="75"/>
      <c r="AL14" s="75"/>
      <c r="AM14" s="75"/>
      <c r="AN14" s="75"/>
      <c r="AO14" s="75"/>
      <c r="AP14" s="75"/>
      <c r="AQ14" s="75"/>
      <c r="AR14" s="75"/>
      <c r="AS14" s="75"/>
      <c r="AT14" s="75"/>
      <c r="AU14" s="75"/>
      <c r="AV14" s="75"/>
      <c r="AW14" s="75"/>
      <c r="AX14" s="75"/>
      <c r="AY14" s="75"/>
      <c r="AZ14" s="75"/>
      <c r="BA14" s="75"/>
      <c r="BB14" s="164" t="str">
        <f>+IF(I13="","","Em Cartão ou Vales Refeição?")</f>
        <v>Em Cartão ou Vales Refeição?</v>
      </c>
      <c r="BC14" s="165"/>
      <c r="BD14" s="165"/>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row>
    <row r="15" spans="1:247" s="85" customFormat="1" ht="18.75" customHeight="1" x14ac:dyDescent="0.35">
      <c r="A15" s="86">
        <v>1</v>
      </c>
      <c r="B15" s="130"/>
      <c r="C15" s="121"/>
      <c r="D15" s="121"/>
      <c r="E15" s="303"/>
      <c r="F15" s="112"/>
      <c r="G15" s="111"/>
      <c r="H15" s="111" t="s">
        <v>260</v>
      </c>
      <c r="I15" s="304">
        <v>20</v>
      </c>
      <c r="J15" s="89"/>
      <c r="K15" s="90"/>
      <c r="L15" s="166">
        <f>L14/(L2+L5)</f>
        <v>8.7021467643186509E-2</v>
      </c>
      <c r="M15" s="132" t="s">
        <v>127</v>
      </c>
      <c r="N15" s="103">
        <f>I5</f>
        <v>0</v>
      </c>
      <c r="O15" s="104">
        <f>N15</f>
        <v>0</v>
      </c>
      <c r="P15" s="142"/>
      <c r="Q15" s="154">
        <v>0.2</v>
      </c>
      <c r="R15" s="167">
        <v>0</v>
      </c>
      <c r="S15" s="106">
        <f>INT(IF(A2&gt;6,(L8*Q15),0)+IF(A21=TRUE,IF(A2&lt;7,(L16*Q15),0),0))</f>
        <v>0</v>
      </c>
      <c r="T15" s="153" t="s">
        <v>128</v>
      </c>
      <c r="U15" s="109">
        <v>40</v>
      </c>
      <c r="V15" s="80"/>
      <c r="W15" s="80"/>
      <c r="X15" s="80"/>
      <c r="Y15" s="134" t="s">
        <v>129</v>
      </c>
      <c r="Z15" s="81"/>
      <c r="AA15" s="75"/>
      <c r="AB15" s="75"/>
      <c r="AC15" s="135">
        <v>0.11</v>
      </c>
      <c r="AD15" s="75"/>
      <c r="AE15" s="128" t="s">
        <v>130</v>
      </c>
      <c r="AF15" s="75"/>
      <c r="AG15" s="75"/>
      <c r="AH15" s="75"/>
      <c r="AI15" s="75"/>
      <c r="AJ15" s="75"/>
      <c r="AK15" s="75"/>
      <c r="AL15" s="75"/>
      <c r="AM15" s="75"/>
      <c r="AN15" s="75"/>
      <c r="AO15" s="75"/>
      <c r="AP15" s="75"/>
      <c r="AQ15" s="75"/>
      <c r="AR15" s="75"/>
      <c r="AS15" s="75"/>
      <c r="AT15" s="75"/>
      <c r="AU15" s="75"/>
      <c r="AV15" s="75"/>
      <c r="AW15" s="75"/>
      <c r="AX15" s="75"/>
      <c r="AY15" s="75"/>
      <c r="AZ15" s="75"/>
      <c r="BA15" s="75"/>
      <c r="BB15" s="159" t="str">
        <f>+IF(I13&gt;0,IF(I15="","Nº Dias?",""),"")</f>
        <v/>
      </c>
      <c r="BC15" s="83"/>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row>
    <row r="16" spans="1:247" s="85" customFormat="1" ht="18.75" hidden="1" customHeight="1" x14ac:dyDescent="0.35">
      <c r="A16" s="162" t="b">
        <v>0</v>
      </c>
      <c r="B16" s="130"/>
      <c r="C16" s="121"/>
      <c r="D16" s="121"/>
      <c r="E16" s="155"/>
      <c r="F16" s="156"/>
      <c r="G16" s="156"/>
      <c r="H16" s="168"/>
      <c r="I16" s="100"/>
      <c r="J16" s="89"/>
      <c r="K16" s="90" t="s">
        <v>131</v>
      </c>
      <c r="L16" s="169">
        <f>IF(A2&lt;-1,0,IF(A21=TRUE,(N2+N15)/12,0))</f>
        <v>0</v>
      </c>
      <c r="M16" s="132" t="s">
        <v>132</v>
      </c>
      <c r="N16" s="103"/>
      <c r="O16" s="104">
        <f>I24</f>
        <v>0</v>
      </c>
      <c r="P16" s="96"/>
      <c r="Q16" s="170"/>
      <c r="R16" s="170"/>
      <c r="S16" s="96" t="s">
        <v>133</v>
      </c>
      <c r="T16" s="161">
        <f>IF((L8+L16)-S15-S5-T5-(505/12)&lt;0,0,(L8+L16)-S15-S5-T5-(505/12))</f>
        <v>0</v>
      </c>
      <c r="U16" s="109">
        <v>40.5</v>
      </c>
      <c r="V16" s="80"/>
      <c r="W16" s="80"/>
      <c r="X16" s="80"/>
      <c r="Y16" s="134" t="s">
        <v>134</v>
      </c>
      <c r="Z16" s="81"/>
      <c r="AA16" s="75"/>
      <c r="AB16" s="75"/>
      <c r="AC16" s="135">
        <v>0.11</v>
      </c>
      <c r="AD16" s="75"/>
      <c r="AE16" s="128" t="s">
        <v>135</v>
      </c>
      <c r="AF16" s="75"/>
      <c r="AG16" s="75"/>
      <c r="AH16" s="75"/>
      <c r="AI16" s="75"/>
      <c r="AJ16" s="75"/>
      <c r="AK16" s="75"/>
      <c r="AL16" s="75"/>
      <c r="AM16" s="75"/>
      <c r="AN16" s="75"/>
      <c r="AO16" s="75"/>
      <c r="AP16" s="75"/>
      <c r="AQ16" s="75"/>
      <c r="AR16" s="75"/>
      <c r="AS16" s="75"/>
      <c r="AT16" s="75"/>
      <c r="AU16" s="75"/>
      <c r="AV16" s="75"/>
      <c r="AW16" s="75"/>
      <c r="AX16" s="75"/>
      <c r="AY16" s="75"/>
      <c r="AZ16" s="75"/>
      <c r="BA16" s="75"/>
      <c r="BB16" s="82"/>
      <c r="BC16" s="83"/>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row>
    <row r="17" spans="1:247" s="85" customFormat="1" ht="18.75" hidden="1" customHeight="1" x14ac:dyDescent="0.35">
      <c r="A17" s="71"/>
      <c r="B17" s="402" t="s">
        <v>136</v>
      </c>
      <c r="C17" s="403"/>
      <c r="D17" s="404"/>
      <c r="E17" s="155"/>
      <c r="F17" s="156"/>
      <c r="G17" s="156"/>
      <c r="H17" s="168"/>
      <c r="I17" s="171"/>
      <c r="J17" s="75"/>
      <c r="K17" s="172"/>
      <c r="L17" s="75"/>
      <c r="M17" s="173" t="s">
        <v>137</v>
      </c>
      <c r="N17" s="174">
        <f>IF(A2&gt;6,(L2)-(IF((L2)&lt;2000,IF((L2)-((L2)*0.035)&lt;1500,0,(L2)*0.035),0)+IF((L2)&gt;=2000,IF((L2)&lt;4165,2000*0.035,0),0)+IF((L2)&gt;=4165,((L2)*0.1),IF((L2)&gt;=2000,((L2)-2000)*0.16,0))),L2)</f>
        <v>1590.96</v>
      </c>
      <c r="O17" s="175">
        <f>SUM(O2:O16)</f>
        <v>1727.6</v>
      </c>
      <c r="P17" s="176"/>
      <c r="Q17" s="170"/>
      <c r="R17" s="170"/>
      <c r="S17" s="106">
        <v>342</v>
      </c>
      <c r="T17" s="177">
        <f>IF((0.035*T16)&gt;=0,0,INT((0.035*T16)+0.9))</f>
        <v>0</v>
      </c>
      <c r="U17" s="109">
        <v>41</v>
      </c>
      <c r="V17" s="80"/>
      <c r="W17" s="80"/>
      <c r="X17" s="80"/>
      <c r="Y17" s="134" t="s">
        <v>138</v>
      </c>
      <c r="Z17" s="81"/>
      <c r="AA17" s="75"/>
      <c r="AB17" s="75"/>
      <c r="AC17" s="135">
        <v>9.4E-2</v>
      </c>
      <c r="AD17" s="75"/>
      <c r="AE17" s="128" t="s">
        <v>139</v>
      </c>
      <c r="AF17" s="75"/>
      <c r="AG17" s="75"/>
      <c r="AH17" s="75"/>
      <c r="AI17" s="75"/>
      <c r="AJ17" s="75"/>
      <c r="AK17" s="75"/>
      <c r="AL17" s="75"/>
      <c r="AM17" s="75"/>
      <c r="AN17" s="75"/>
      <c r="AO17" s="75"/>
      <c r="AP17" s="75"/>
      <c r="AQ17" s="75"/>
      <c r="AR17" s="75"/>
      <c r="AS17" s="75"/>
      <c r="AT17" s="75"/>
      <c r="AU17" s="75"/>
      <c r="AV17" s="75"/>
      <c r="AW17" s="75"/>
      <c r="AX17" s="75"/>
      <c r="AY17" s="75"/>
      <c r="AZ17" s="75"/>
      <c r="BA17" s="75"/>
      <c r="BB17" s="82"/>
      <c r="BC17" s="83"/>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row>
    <row r="18" spans="1:247" s="85" customFormat="1" ht="18.75" hidden="1" customHeight="1" x14ac:dyDescent="0.3">
      <c r="A18" s="162">
        <v>1</v>
      </c>
      <c r="B18" s="402" t="s">
        <v>140</v>
      </c>
      <c r="C18" s="403"/>
      <c r="D18" s="404"/>
      <c r="E18" s="155"/>
      <c r="F18" s="156"/>
      <c r="G18" s="156"/>
      <c r="H18" s="168"/>
      <c r="I18" s="171"/>
      <c r="J18" s="75"/>
      <c r="K18" s="128"/>
      <c r="L18" s="75"/>
      <c r="M18" s="75"/>
      <c r="N18" s="75"/>
      <c r="O18" s="75"/>
      <c r="P18" s="96"/>
      <c r="Q18" s="170"/>
      <c r="R18" s="170"/>
      <c r="S18" s="178"/>
      <c r="T18" s="153" t="s">
        <v>141</v>
      </c>
      <c r="U18" s="109">
        <v>41.5</v>
      </c>
      <c r="V18" s="80"/>
      <c r="W18" s="80"/>
      <c r="X18" s="80"/>
      <c r="Y18" s="179" t="s">
        <v>142</v>
      </c>
      <c r="Z18" s="180"/>
      <c r="AA18" s="181"/>
      <c r="AB18" s="181"/>
      <c r="AC18" s="182">
        <v>0.08</v>
      </c>
      <c r="AD18" s="75"/>
      <c r="AE18" s="128" t="s">
        <v>143</v>
      </c>
      <c r="AF18" s="75"/>
      <c r="AG18" s="75"/>
      <c r="AH18" s="75"/>
      <c r="AI18" s="75"/>
      <c r="AJ18" s="75"/>
      <c r="AK18" s="75"/>
      <c r="AL18" s="75"/>
      <c r="AM18" s="75"/>
      <c r="AN18" s="75"/>
      <c r="AO18" s="75"/>
      <c r="AP18" s="75"/>
      <c r="AQ18" s="75"/>
      <c r="AR18" s="75"/>
      <c r="AS18" s="75"/>
      <c r="AT18" s="75"/>
      <c r="AU18" s="75"/>
      <c r="AV18" s="75"/>
      <c r="AW18" s="75"/>
      <c r="AX18" s="75"/>
      <c r="AY18" s="75"/>
      <c r="AZ18" s="75"/>
      <c r="BA18" s="75"/>
      <c r="BB18" s="82"/>
      <c r="BC18" s="83"/>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row>
    <row r="19" spans="1:247" s="85" customFormat="1" ht="18.75" hidden="1" customHeight="1" x14ac:dyDescent="0.3">
      <c r="A19" s="162" t="b">
        <v>0</v>
      </c>
      <c r="B19" s="130"/>
      <c r="C19" s="121"/>
      <c r="D19" s="121"/>
      <c r="E19" s="155"/>
      <c r="F19" s="156"/>
      <c r="G19" s="156"/>
      <c r="H19" s="168"/>
      <c r="I19" s="183"/>
      <c r="J19" s="75"/>
      <c r="K19" s="128"/>
      <c r="L19" s="75"/>
      <c r="M19" s="75"/>
      <c r="N19" s="75"/>
      <c r="O19" s="75"/>
      <c r="P19" s="133"/>
      <c r="Q19" s="170"/>
      <c r="R19" s="170"/>
      <c r="S19" s="178"/>
      <c r="T19" s="184"/>
      <c r="U19" s="109"/>
      <c r="V19" s="80"/>
      <c r="W19" s="80"/>
      <c r="X19" s="80"/>
      <c r="Y19" s="185"/>
      <c r="Z19" s="81"/>
      <c r="AA19" s="75"/>
      <c r="AB19" s="75"/>
      <c r="AC19" s="186"/>
      <c r="AD19" s="75"/>
      <c r="AE19" s="128"/>
      <c r="AF19" s="75"/>
      <c r="AG19" s="75"/>
      <c r="AH19" s="75"/>
      <c r="AI19" s="75"/>
      <c r="AJ19" s="75"/>
      <c r="AK19" s="75"/>
      <c r="AL19" s="75"/>
      <c r="AM19" s="75"/>
      <c r="AN19" s="75"/>
      <c r="AO19" s="75"/>
      <c r="AP19" s="75"/>
      <c r="AQ19" s="75"/>
      <c r="AR19" s="75"/>
      <c r="AS19" s="75"/>
      <c r="AT19" s="75"/>
      <c r="AU19" s="75"/>
      <c r="AV19" s="75"/>
      <c r="AW19" s="75"/>
      <c r="AX19" s="75"/>
      <c r="AY19" s="75"/>
      <c r="AZ19" s="75"/>
      <c r="BA19" s="75"/>
      <c r="BB19" s="82"/>
      <c r="BC19" s="83"/>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row>
    <row r="20" spans="1:247" s="85" customFormat="1" ht="18.75" hidden="1" customHeight="1" x14ac:dyDescent="0.3">
      <c r="A20" s="71"/>
      <c r="B20" s="130"/>
      <c r="C20" s="121"/>
      <c r="D20" s="121"/>
      <c r="E20" s="155"/>
      <c r="F20" s="156"/>
      <c r="G20" s="156"/>
      <c r="H20" s="168"/>
      <c r="I20" s="183"/>
      <c r="J20" s="75"/>
      <c r="K20" s="172"/>
      <c r="L20" s="75"/>
      <c r="M20" s="187"/>
      <c r="N20" s="188"/>
      <c r="O20" s="75"/>
      <c r="P20" s="176"/>
      <c r="Q20" s="170"/>
      <c r="R20" s="170"/>
      <c r="S20" s="178"/>
      <c r="T20" s="161" t="e">
        <v>#REF!</v>
      </c>
      <c r="U20" s="109">
        <v>42</v>
      </c>
      <c r="V20" s="80"/>
      <c r="W20" s="80"/>
      <c r="X20" s="80"/>
      <c r="Y20" s="81"/>
      <c r="Z20" s="81"/>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82"/>
      <c r="BC20" s="83"/>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row>
    <row r="21" spans="1:247" s="85" customFormat="1" ht="18.75" hidden="1" customHeight="1" x14ac:dyDescent="0.35">
      <c r="A21" s="162" t="b">
        <v>0</v>
      </c>
      <c r="B21" s="130"/>
      <c r="C21" s="121"/>
      <c r="D21" s="121"/>
      <c r="E21" s="155"/>
      <c r="F21" s="156"/>
      <c r="G21" s="156"/>
      <c r="H21" s="168"/>
      <c r="I21" s="183"/>
      <c r="J21" s="75"/>
      <c r="K21" s="172"/>
      <c r="L21" s="75"/>
      <c r="M21" s="75"/>
      <c r="N21" s="75"/>
      <c r="O21" s="75"/>
      <c r="P21" s="75"/>
      <c r="Q21" s="77"/>
      <c r="R21" s="75"/>
      <c r="S21" s="170"/>
      <c r="T21" s="160" t="e">
        <f>IF(INT(0.035*T20)&lt;0,0,INT(0.035*T20))</f>
        <v>#REF!</v>
      </c>
      <c r="U21" s="189"/>
      <c r="V21" s="81"/>
      <c r="W21" s="81"/>
      <c r="X21" s="81"/>
      <c r="Y21" s="81"/>
      <c r="Z21" s="81"/>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82"/>
      <c r="BC21" s="83"/>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row>
    <row r="22" spans="1:247" s="85" customFormat="1" ht="18.75" hidden="1" customHeight="1" x14ac:dyDescent="0.35">
      <c r="A22" s="71"/>
      <c r="B22" s="130"/>
      <c r="C22" s="121"/>
      <c r="D22" s="121"/>
      <c r="E22" s="155"/>
      <c r="F22" s="156"/>
      <c r="G22" s="156"/>
      <c r="H22" s="168"/>
      <c r="I22" s="183"/>
      <c r="J22" s="170"/>
      <c r="K22" s="172"/>
      <c r="L22" s="75"/>
      <c r="M22" s="75"/>
      <c r="N22" s="75"/>
      <c r="O22" s="75"/>
      <c r="P22" s="75"/>
      <c r="Q22" s="190"/>
      <c r="R22" s="75"/>
      <c r="S22" s="75"/>
      <c r="T22" s="75"/>
      <c r="U22" s="189"/>
      <c r="V22" s="81"/>
      <c r="W22" s="81"/>
      <c r="X22" s="81"/>
      <c r="Y22" s="81"/>
      <c r="Z22" s="81"/>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82"/>
      <c r="BC22" s="83"/>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row>
    <row r="23" spans="1:247" s="85" customFormat="1" ht="18.75" customHeight="1" x14ac:dyDescent="0.35">
      <c r="A23" s="71"/>
      <c r="B23" s="130"/>
      <c r="C23" s="121"/>
      <c r="D23" s="121"/>
      <c r="E23" s="350"/>
      <c r="F23" s="351"/>
      <c r="G23" s="351"/>
      <c r="H23" s="315" t="s">
        <v>144</v>
      </c>
      <c r="I23" s="399"/>
      <c r="J23" s="170"/>
      <c r="K23" s="172"/>
      <c r="L23" s="75"/>
      <c r="M23" s="191"/>
      <c r="N23" s="75"/>
      <c r="O23" s="75"/>
      <c r="P23" s="75"/>
      <c r="Q23" s="75"/>
      <c r="R23" s="75"/>
      <c r="S23" s="75"/>
      <c r="T23" s="75"/>
      <c r="U23" s="189"/>
      <c r="V23" s="81"/>
      <c r="W23" s="81"/>
      <c r="X23" s="81"/>
      <c r="Y23" s="81"/>
      <c r="Z23" s="81"/>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82"/>
      <c r="BC23" s="83"/>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row>
    <row r="24" spans="1:247" s="85" customFormat="1" ht="18.75" customHeight="1" x14ac:dyDescent="0.35">
      <c r="A24" s="71"/>
      <c r="B24" s="130"/>
      <c r="C24" s="121"/>
      <c r="D24" s="121"/>
      <c r="E24" s="350"/>
      <c r="F24" s="351"/>
      <c r="G24" s="351"/>
      <c r="H24" s="315" t="s">
        <v>145</v>
      </c>
      <c r="I24" s="399"/>
      <c r="J24" s="170"/>
      <c r="K24" s="172"/>
      <c r="L24" s="75"/>
      <c r="M24" s="75"/>
      <c r="N24" s="75"/>
      <c r="O24" s="75"/>
      <c r="P24" s="75"/>
      <c r="Q24" s="75"/>
      <c r="R24" s="75"/>
      <c r="S24" s="75"/>
      <c r="T24" s="75"/>
      <c r="U24" s="81"/>
      <c r="V24" s="81"/>
      <c r="W24" s="81"/>
      <c r="X24" s="81"/>
      <c r="Y24" s="81"/>
      <c r="Z24" s="81"/>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82"/>
      <c r="BC24" s="83"/>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row>
    <row r="25" spans="1:247" s="85" customFormat="1" ht="18.75" customHeight="1" x14ac:dyDescent="0.35">
      <c r="A25" s="71"/>
      <c r="B25" s="130"/>
      <c r="C25" s="121"/>
      <c r="D25" s="121"/>
      <c r="E25" s="307"/>
      <c r="F25" s="314"/>
      <c r="G25" s="314"/>
      <c r="H25" s="315" t="s">
        <v>146</v>
      </c>
      <c r="I25" s="391">
        <f>IF(SUM(I26:I32)=0,0,SUM(I26:I32))</f>
        <v>0</v>
      </c>
      <c r="J25" s="170"/>
      <c r="K25" s="172"/>
      <c r="L25" s="75"/>
      <c r="M25" s="192" t="s">
        <v>253</v>
      </c>
      <c r="N25" s="193"/>
      <c r="O25" s="192"/>
      <c r="P25" s="193"/>
      <c r="Q25" s="193"/>
      <c r="R25" s="193"/>
      <c r="S25" s="75"/>
      <c r="T25" s="75"/>
      <c r="U25" s="194">
        <f>O25</f>
        <v>0</v>
      </c>
      <c r="V25" s="81"/>
      <c r="W25" s="81"/>
      <c r="X25" s="81"/>
      <c r="Y25" s="81"/>
      <c r="Z25" s="81"/>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82"/>
      <c r="BC25" s="83"/>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row>
    <row r="26" spans="1:247" s="85" customFormat="1" ht="27.75" customHeight="1" thickBot="1" x14ac:dyDescent="0.4">
      <c r="A26" s="71"/>
      <c r="B26" s="130"/>
      <c r="C26" s="121"/>
      <c r="D26" s="121"/>
      <c r="E26" s="307"/>
      <c r="F26" s="314"/>
      <c r="G26" s="314"/>
      <c r="H26" s="314" t="s">
        <v>149</v>
      </c>
      <c r="I26" s="398">
        <v>0</v>
      </c>
      <c r="J26" s="170"/>
      <c r="K26" s="172"/>
      <c r="L26" s="75"/>
      <c r="M26" s="75"/>
      <c r="N26" s="193"/>
      <c r="O26" s="192" t="s">
        <v>150</v>
      </c>
      <c r="P26" s="75"/>
      <c r="Q26" s="193"/>
      <c r="R26" s="193"/>
      <c r="S26" s="75"/>
      <c r="T26" s="75"/>
      <c r="U26" s="194" t="str">
        <f>O26</f>
        <v xml:space="preserve">TABELA I - TRABALHO DEPENDENTE </v>
      </c>
      <c r="V26" s="81"/>
      <c r="W26" s="81"/>
      <c r="X26" s="81"/>
      <c r="Y26" s="81"/>
      <c r="Z26" s="81"/>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82"/>
      <c r="BC26" s="83"/>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row>
    <row r="27" spans="1:247" s="85" customFormat="1" ht="24" hidden="1" customHeight="1" x14ac:dyDescent="0.35">
      <c r="A27" s="71"/>
      <c r="B27" s="195"/>
      <c r="C27" s="196"/>
      <c r="D27" s="196"/>
      <c r="E27" s="155"/>
      <c r="F27" s="156"/>
      <c r="G27" s="156"/>
      <c r="H27" s="157" t="s">
        <v>151</v>
      </c>
      <c r="I27" s="197"/>
      <c r="J27" s="170"/>
      <c r="K27" s="172"/>
      <c r="L27" s="75">
        <v>1</v>
      </c>
      <c r="M27" s="198"/>
      <c r="N27" s="193"/>
      <c r="O27" s="192" t="s">
        <v>152</v>
      </c>
      <c r="P27" s="75"/>
      <c r="Q27" s="193"/>
      <c r="R27" s="193"/>
      <c r="S27" s="75"/>
      <c r="T27" s="75"/>
      <c r="U27" s="194" t="str">
        <f>O27</f>
        <v>NÃO CASADO</v>
      </c>
      <c r="V27" s="81"/>
      <c r="W27" s="81"/>
      <c r="X27" s="81"/>
      <c r="Y27" s="81"/>
      <c r="Z27" s="81"/>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82"/>
      <c r="BC27" s="83"/>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row>
    <row r="28" spans="1:247" s="85" customFormat="1" ht="39" hidden="1" customHeight="1" x14ac:dyDescent="0.35">
      <c r="A28" s="71"/>
      <c r="B28" s="195"/>
      <c r="C28" s="196"/>
      <c r="D28" s="196"/>
      <c r="E28" s="155"/>
      <c r="F28" s="156"/>
      <c r="G28" s="156"/>
      <c r="H28" s="157" t="s">
        <v>153</v>
      </c>
      <c r="I28" s="197"/>
      <c r="J28" s="199"/>
      <c r="K28" s="172"/>
      <c r="L28" s="75"/>
      <c r="M28" s="200" t="s">
        <v>154</v>
      </c>
      <c r="N28" s="201" t="s">
        <v>155</v>
      </c>
      <c r="O28" s="201" t="s">
        <v>156</v>
      </c>
      <c r="P28" s="201" t="s">
        <v>157</v>
      </c>
      <c r="Q28" s="201" t="s">
        <v>158</v>
      </c>
      <c r="R28" s="201" t="s">
        <v>159</v>
      </c>
      <c r="S28" s="201" t="s">
        <v>160</v>
      </c>
      <c r="T28" s="75"/>
      <c r="U28" s="202" t="str">
        <f t="shared" ref="U28:Z28" si="0">N28</f>
        <v>0 dep</v>
      </c>
      <c r="V28" s="202" t="str">
        <f t="shared" si="0"/>
        <v>1 dep</v>
      </c>
      <c r="W28" s="202" t="str">
        <f t="shared" si="0"/>
        <v>2 dep</v>
      </c>
      <c r="X28" s="202" t="str">
        <f t="shared" si="0"/>
        <v>3 dep</v>
      </c>
      <c r="Y28" s="202" t="str">
        <f t="shared" si="0"/>
        <v>4 dep</v>
      </c>
      <c r="Z28" s="202" t="str">
        <f t="shared" si="0"/>
        <v>5 dep. ou +</v>
      </c>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82"/>
      <c r="BC28" s="83"/>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row>
    <row r="29" spans="1:247" s="85" customFormat="1" ht="33.75" hidden="1" customHeight="1" x14ac:dyDescent="0.3">
      <c r="A29" s="71"/>
      <c r="B29" s="195"/>
      <c r="C29" s="196"/>
      <c r="D29" s="196"/>
      <c r="E29" s="155"/>
      <c r="F29" s="156"/>
      <c r="G29" s="156"/>
      <c r="H29" s="157" t="s">
        <v>161</v>
      </c>
      <c r="I29" s="197"/>
      <c r="J29" s="199"/>
      <c r="K29" s="172"/>
      <c r="L29" s="75"/>
      <c r="M29" s="203">
        <v>710</v>
      </c>
      <c r="N29" s="204" t="str">
        <f>IF($R$11&lt;=M29,IF($R$11&gt;=0,0,""),"")</f>
        <v/>
      </c>
      <c r="O29" s="204" t="str">
        <f>IF($R$11&lt;=M29,IF($R$11&gt;=0,0,""),"")</f>
        <v/>
      </c>
      <c r="P29" s="204" t="str">
        <f>IF($R$11&lt;=M29,IF($R$11&gt;=0,0,""),"")</f>
        <v/>
      </c>
      <c r="Q29" s="204" t="str">
        <f>IF($R$11&lt;=M29,IF($R$11&gt;=0,0,""),"")</f>
        <v/>
      </c>
      <c r="R29" s="204" t="str">
        <f>IF($R$11&lt;=M29,IF($R$11&gt;=0,0,""),"")</f>
        <v/>
      </c>
      <c r="S29" s="204" t="str">
        <f>IF($R$11&lt;=M29,IF($R$11&gt;=0,0,""),"")</f>
        <v/>
      </c>
      <c r="T29" s="75"/>
      <c r="U29" s="205">
        <v>0</v>
      </c>
      <c r="V29" s="205">
        <v>0</v>
      </c>
      <c r="W29" s="205">
        <v>0</v>
      </c>
      <c r="X29" s="205">
        <v>0</v>
      </c>
      <c r="Y29" s="205">
        <v>0</v>
      </c>
      <c r="Z29" s="205">
        <v>0</v>
      </c>
      <c r="AA29" s="75"/>
      <c r="AB29" s="206"/>
      <c r="AC29" s="206"/>
      <c r="AD29" s="206"/>
      <c r="AE29" s="206"/>
      <c r="AF29" s="206"/>
      <c r="AG29" s="206"/>
      <c r="AH29" s="75"/>
      <c r="AI29" s="75"/>
      <c r="AJ29" s="75"/>
      <c r="AK29" s="75"/>
      <c r="AL29" s="75"/>
      <c r="AM29" s="75"/>
      <c r="AN29" s="75"/>
      <c r="AO29" s="75"/>
      <c r="AP29" s="75"/>
      <c r="AQ29" s="75"/>
      <c r="AR29" s="75"/>
      <c r="AS29" s="75"/>
      <c r="AT29" s="75"/>
      <c r="AU29" s="75"/>
      <c r="AV29" s="75"/>
      <c r="AW29" s="75"/>
      <c r="AX29" s="75"/>
      <c r="AY29" s="75"/>
      <c r="AZ29" s="75"/>
      <c r="BA29" s="75"/>
      <c r="BB29" s="82"/>
      <c r="BC29" s="83"/>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row>
    <row r="30" spans="1:247" s="85" customFormat="1" ht="22.5" hidden="1" customHeight="1" x14ac:dyDescent="0.35">
      <c r="A30" s="71"/>
      <c r="B30" s="195"/>
      <c r="C30" s="196"/>
      <c r="D30" s="196"/>
      <c r="E30" s="155"/>
      <c r="F30" s="156"/>
      <c r="G30" s="156"/>
      <c r="H30" s="157" t="s">
        <v>162</v>
      </c>
      <c r="I30" s="197"/>
      <c r="J30" s="199"/>
      <c r="K30" s="172"/>
      <c r="L30" s="75"/>
      <c r="M30" s="203">
        <v>720</v>
      </c>
      <c r="N30" s="204" t="str">
        <f t="shared" ref="N30:N65" si="1">IF($R$11&lt;=M30,IF($R$11&gt;=M29+0.01,U30,""),"")</f>
        <v/>
      </c>
      <c r="O30" s="204" t="str">
        <f t="shared" ref="O30:O65" si="2">IF($R$11&lt;=M30,IF($R$11&gt;=M29+0.01,V30,""),"")</f>
        <v/>
      </c>
      <c r="P30" s="204" t="str">
        <f t="shared" ref="P30:P65" si="3">IF($R$11&lt;=M30,IF($R$11&gt;=M29+0.01,W30,""),"")</f>
        <v/>
      </c>
      <c r="Q30" s="204" t="str">
        <f t="shared" ref="Q30:Q65" si="4">IF($R$11&lt;=M30,IF($R$11&gt;=M29+0.01,X30,""),"")</f>
        <v/>
      </c>
      <c r="R30" s="204" t="str">
        <f t="shared" ref="R30:R65" si="5">IF($R$11&lt;=M30,IF($R$11&gt;=M29+0.01,Y30,""),"")</f>
        <v/>
      </c>
      <c r="S30" s="207" t="str">
        <f t="shared" ref="S30:S65" si="6">IF($R$11&lt;=M30,IF($R$11&gt;=M29+0.01,Z30,""),"")</f>
        <v/>
      </c>
      <c r="T30" s="75"/>
      <c r="U30" s="205">
        <v>1.7999999999999999E-2</v>
      </c>
      <c r="V30" s="205">
        <v>2E-3</v>
      </c>
      <c r="W30" s="205">
        <v>0</v>
      </c>
      <c r="X30" s="205">
        <v>0</v>
      </c>
      <c r="Y30" s="205">
        <v>0</v>
      </c>
      <c r="Z30" s="205">
        <v>0</v>
      </c>
      <c r="AA30" s="75"/>
      <c r="AB30" s="206"/>
      <c r="AC30" s="206"/>
      <c r="AD30" s="206"/>
      <c r="AE30" s="206"/>
      <c r="AF30" s="206"/>
      <c r="AG30" s="206"/>
      <c r="AH30" s="75"/>
      <c r="AI30" s="75"/>
      <c r="AJ30" s="75"/>
      <c r="AK30" s="75"/>
      <c r="AL30" s="75"/>
      <c r="AM30" s="75"/>
      <c r="AN30" s="75"/>
      <c r="AO30" s="75"/>
      <c r="AP30" s="75"/>
      <c r="AQ30" s="75"/>
      <c r="AR30" s="75"/>
      <c r="AS30" s="75"/>
      <c r="AT30" s="75"/>
      <c r="AU30" s="75"/>
      <c r="AV30" s="75"/>
      <c r="AW30" s="75"/>
      <c r="AX30" s="75"/>
      <c r="AY30" s="75"/>
      <c r="AZ30" s="75"/>
      <c r="BA30" s="75"/>
      <c r="BB30" s="82"/>
      <c r="BC30" s="83"/>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row>
    <row r="31" spans="1:247" s="85" customFormat="1" ht="22.5" hidden="1" customHeight="1" x14ac:dyDescent="0.35">
      <c r="A31" s="71"/>
      <c r="B31" s="195"/>
      <c r="C31" s="196"/>
      <c r="D31" s="196"/>
      <c r="E31" s="155"/>
      <c r="F31" s="156"/>
      <c r="G31" s="156"/>
      <c r="H31" s="157" t="s">
        <v>163</v>
      </c>
      <c r="I31" s="197"/>
      <c r="J31" s="199"/>
      <c r="K31" s="172"/>
      <c r="L31" s="75"/>
      <c r="M31" s="203">
        <v>740</v>
      </c>
      <c r="N31" s="204" t="str">
        <f t="shared" si="1"/>
        <v/>
      </c>
      <c r="O31" s="204" t="str">
        <f t="shared" si="2"/>
        <v/>
      </c>
      <c r="P31" s="204" t="str">
        <f t="shared" si="3"/>
        <v/>
      </c>
      <c r="Q31" s="204" t="str">
        <f t="shared" si="4"/>
        <v/>
      </c>
      <c r="R31" s="204" t="str">
        <f t="shared" si="5"/>
        <v/>
      </c>
      <c r="S31" s="207" t="str">
        <f t="shared" si="6"/>
        <v/>
      </c>
      <c r="T31" s="75"/>
      <c r="U31" s="205">
        <v>4.4999999999999998E-2</v>
      </c>
      <c r="V31" s="205">
        <v>6.0000000000000001E-3</v>
      </c>
      <c r="W31" s="205">
        <v>0</v>
      </c>
      <c r="X31" s="205">
        <v>0</v>
      </c>
      <c r="Y31" s="205">
        <v>0</v>
      </c>
      <c r="Z31" s="205">
        <v>0</v>
      </c>
      <c r="AA31" s="75"/>
      <c r="AB31" s="206"/>
      <c r="AC31" s="206"/>
      <c r="AD31" s="206"/>
      <c r="AE31" s="206"/>
      <c r="AF31" s="206"/>
      <c r="AG31" s="206"/>
      <c r="AH31" s="75"/>
      <c r="AI31" s="75"/>
      <c r="AJ31" s="75"/>
      <c r="AK31" s="75"/>
      <c r="AL31" s="75"/>
      <c r="AM31" s="75"/>
      <c r="AN31" s="75"/>
      <c r="AO31" s="75"/>
      <c r="AP31" s="75"/>
      <c r="AQ31" s="75"/>
      <c r="AR31" s="75"/>
      <c r="AS31" s="75"/>
      <c r="AT31" s="75"/>
      <c r="AU31" s="75"/>
      <c r="AV31" s="75"/>
      <c r="AW31" s="75"/>
      <c r="AX31" s="75"/>
      <c r="AY31" s="75"/>
      <c r="AZ31" s="75"/>
      <c r="BA31" s="75"/>
      <c r="BB31" s="82"/>
      <c r="BC31" s="83"/>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row>
    <row r="32" spans="1:247" s="85" customFormat="1" ht="18.75" hidden="1" customHeight="1" thickBot="1" x14ac:dyDescent="0.4">
      <c r="A32" s="71"/>
      <c r="B32" s="208"/>
      <c r="C32" s="209"/>
      <c r="D32" s="210"/>
      <c r="E32" s="155"/>
      <c r="F32" s="156"/>
      <c r="G32" s="156"/>
      <c r="H32" s="157" t="s">
        <v>164</v>
      </c>
      <c r="I32" s="197"/>
      <c r="J32" s="199"/>
      <c r="K32" s="172"/>
      <c r="L32" s="75"/>
      <c r="M32" s="203">
        <v>754</v>
      </c>
      <c r="N32" s="204" t="str">
        <f t="shared" si="1"/>
        <v/>
      </c>
      <c r="O32" s="204" t="str">
        <f t="shared" si="2"/>
        <v/>
      </c>
      <c r="P32" s="204" t="str">
        <f t="shared" si="3"/>
        <v/>
      </c>
      <c r="Q32" s="204" t="str">
        <f t="shared" si="4"/>
        <v/>
      </c>
      <c r="R32" s="204" t="str">
        <f t="shared" si="5"/>
        <v/>
      </c>
      <c r="S32" s="207" t="str">
        <f t="shared" si="6"/>
        <v/>
      </c>
      <c r="T32" s="75"/>
      <c r="U32" s="205">
        <v>6.3E-2</v>
      </c>
      <c r="V32" s="205">
        <v>8.0000000000000002E-3</v>
      </c>
      <c r="W32" s="205">
        <v>0</v>
      </c>
      <c r="X32" s="205">
        <v>0</v>
      </c>
      <c r="Y32" s="205">
        <v>0</v>
      </c>
      <c r="Z32" s="205">
        <v>0</v>
      </c>
      <c r="AA32" s="75"/>
      <c r="AB32" s="206"/>
      <c r="AC32" s="206"/>
      <c r="AD32" s="206"/>
      <c r="AE32" s="206"/>
      <c r="AF32" s="206"/>
      <c r="AG32" s="206"/>
      <c r="AH32" s="75"/>
      <c r="AI32" s="75"/>
      <c r="AJ32" s="75"/>
      <c r="AK32" s="75"/>
      <c r="AL32" s="75"/>
      <c r="AM32" s="75"/>
      <c r="AN32" s="75"/>
      <c r="AO32" s="75"/>
      <c r="AP32" s="75"/>
      <c r="AQ32" s="75"/>
      <c r="AR32" s="75"/>
      <c r="AS32" s="75"/>
      <c r="AT32" s="75"/>
      <c r="AU32" s="75"/>
      <c r="AV32" s="75"/>
      <c r="AW32" s="75"/>
      <c r="AX32" s="75"/>
      <c r="AY32" s="75"/>
      <c r="AZ32" s="75"/>
      <c r="BA32" s="75"/>
      <c r="BB32" s="82"/>
      <c r="BC32" s="83"/>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row>
    <row r="33" spans="1:247" s="85" customFormat="1" ht="18" customHeight="1" thickBot="1" x14ac:dyDescent="0.4">
      <c r="A33" s="71"/>
      <c r="B33" s="416" t="s">
        <v>263</v>
      </c>
      <c r="C33" s="417"/>
      <c r="D33" s="417"/>
      <c r="E33" s="417"/>
      <c r="F33" s="417"/>
      <c r="G33" s="417"/>
      <c r="H33" s="417"/>
      <c r="I33" s="418"/>
      <c r="J33" s="211"/>
      <c r="K33" s="172"/>
      <c r="L33" s="75"/>
      <c r="M33" s="75">
        <v>762</v>
      </c>
      <c r="N33" s="204" t="str">
        <f t="shared" si="1"/>
        <v/>
      </c>
      <c r="O33" s="204" t="str">
        <f t="shared" si="2"/>
        <v/>
      </c>
      <c r="P33" s="204" t="str">
        <f t="shared" si="3"/>
        <v/>
      </c>
      <c r="Q33" s="204" t="str">
        <f t="shared" si="4"/>
        <v/>
      </c>
      <c r="R33" s="204" t="str">
        <f t="shared" si="5"/>
        <v/>
      </c>
      <c r="S33" s="207" t="str">
        <f t="shared" si="6"/>
        <v/>
      </c>
      <c r="T33" s="75"/>
      <c r="U33" s="205">
        <v>0</v>
      </c>
      <c r="V33" s="205">
        <v>0</v>
      </c>
      <c r="W33" s="205">
        <v>0</v>
      </c>
      <c r="X33" s="205">
        <v>0</v>
      </c>
      <c r="Y33" s="205">
        <v>0</v>
      </c>
      <c r="Z33" s="205">
        <v>0</v>
      </c>
      <c r="AA33" s="75"/>
      <c r="AB33" s="206"/>
      <c r="AC33" s="206"/>
      <c r="AD33" s="206"/>
      <c r="AE33" s="206"/>
      <c r="AF33" s="206"/>
      <c r="AG33" s="206"/>
      <c r="AH33" s="75"/>
      <c r="AI33" s="75"/>
      <c r="AJ33" s="75"/>
      <c r="AK33" s="75"/>
      <c r="AL33" s="75"/>
      <c r="AM33" s="75"/>
      <c r="AN33" s="75"/>
      <c r="AO33" s="75"/>
      <c r="AP33" s="75"/>
      <c r="AQ33" s="75"/>
      <c r="AR33" s="75"/>
      <c r="AS33" s="75"/>
      <c r="AT33" s="75"/>
      <c r="AU33" s="75"/>
      <c r="AV33" s="75"/>
      <c r="AW33" s="75"/>
      <c r="AX33" s="75"/>
      <c r="AY33" s="75"/>
      <c r="AZ33" s="75"/>
      <c r="BA33" s="75"/>
      <c r="BB33" s="82"/>
      <c r="BC33" s="83"/>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row>
    <row r="34" spans="1:247" s="85" customFormat="1" ht="21" customHeight="1" thickBot="1" x14ac:dyDescent="0.4">
      <c r="A34" s="71"/>
      <c r="B34" s="365"/>
      <c r="C34" s="366"/>
      <c r="D34" s="366"/>
      <c r="E34" s="366"/>
      <c r="F34" s="366"/>
      <c r="G34" s="366"/>
      <c r="H34" s="366"/>
      <c r="I34" s="367"/>
      <c r="J34" s="211"/>
      <c r="K34" s="172"/>
      <c r="L34" s="75"/>
      <c r="M34" s="75">
        <v>766</v>
      </c>
      <c r="N34" s="204" t="str">
        <f t="shared" si="1"/>
        <v/>
      </c>
      <c r="O34" s="204" t="str">
        <f t="shared" si="2"/>
        <v/>
      </c>
      <c r="P34" s="204" t="str">
        <f t="shared" si="3"/>
        <v/>
      </c>
      <c r="Q34" s="204" t="str">
        <f t="shared" si="4"/>
        <v/>
      </c>
      <c r="R34" s="204" t="str">
        <f t="shared" si="5"/>
        <v/>
      </c>
      <c r="S34" s="207" t="str">
        <f t="shared" si="6"/>
        <v/>
      </c>
      <c r="T34" s="75"/>
      <c r="U34" s="205">
        <v>2.5000000000000001E-2</v>
      </c>
      <c r="V34" s="205">
        <v>4.0000000000000001E-3</v>
      </c>
      <c r="W34" s="205">
        <v>0</v>
      </c>
      <c r="X34" s="205">
        <v>0</v>
      </c>
      <c r="Y34" s="205">
        <v>0</v>
      </c>
      <c r="Z34" s="205">
        <v>0</v>
      </c>
      <c r="AA34" s="75"/>
      <c r="AB34" s="206"/>
      <c r="AC34" s="206"/>
      <c r="AD34" s="206"/>
      <c r="AE34" s="206"/>
      <c r="AF34" s="206"/>
      <c r="AG34" s="206"/>
      <c r="AH34" s="75"/>
      <c r="AI34" s="75"/>
      <c r="AJ34" s="75"/>
      <c r="AK34" s="75"/>
      <c r="AL34" s="75"/>
      <c r="AM34" s="75"/>
      <c r="AN34" s="75"/>
      <c r="AO34" s="75"/>
      <c r="AP34" s="75"/>
      <c r="AQ34" s="75"/>
      <c r="AR34" s="75"/>
      <c r="AS34" s="75"/>
      <c r="AT34" s="75"/>
      <c r="AU34" s="75"/>
      <c r="AV34" s="75"/>
      <c r="AW34" s="75"/>
      <c r="AX34" s="75"/>
      <c r="AY34" s="75"/>
      <c r="AZ34" s="75"/>
      <c r="BA34" s="75"/>
      <c r="BB34" s="82"/>
      <c r="BC34" s="83"/>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row>
    <row r="35" spans="1:247" s="85" customFormat="1" ht="16.5" customHeight="1" thickBot="1" x14ac:dyDescent="0.4">
      <c r="A35" s="212"/>
      <c r="B35" s="419" t="s">
        <v>165</v>
      </c>
      <c r="C35" s="420"/>
      <c r="D35" s="420"/>
      <c r="E35" s="421"/>
      <c r="F35" s="368" t="s">
        <v>166</v>
      </c>
      <c r="G35" s="369" t="s">
        <v>167</v>
      </c>
      <c r="H35" s="369" t="s">
        <v>71</v>
      </c>
      <c r="I35" s="370" t="s">
        <v>72</v>
      </c>
      <c r="J35" s="170"/>
      <c r="K35" s="172"/>
      <c r="L35" s="75"/>
      <c r="M35" s="75">
        <v>787</v>
      </c>
      <c r="N35" s="204" t="str">
        <f t="shared" si="1"/>
        <v/>
      </c>
      <c r="O35" s="204" t="str">
        <f t="shared" si="2"/>
        <v/>
      </c>
      <c r="P35" s="204" t="str">
        <f t="shared" si="3"/>
        <v/>
      </c>
      <c r="Q35" s="204" t="str">
        <f t="shared" si="4"/>
        <v/>
      </c>
      <c r="R35" s="204" t="str">
        <f t="shared" si="5"/>
        <v/>
      </c>
      <c r="S35" s="207" t="str">
        <f t="shared" si="6"/>
        <v/>
      </c>
      <c r="T35" s="75"/>
      <c r="U35" s="205">
        <v>4.9000000000000002E-2</v>
      </c>
      <c r="V35" s="205">
        <v>7.0000000000000001E-3</v>
      </c>
      <c r="W35" s="205">
        <v>0</v>
      </c>
      <c r="X35" s="205">
        <v>0</v>
      </c>
      <c r="Y35" s="205">
        <v>0</v>
      </c>
      <c r="Z35" s="205">
        <v>0</v>
      </c>
      <c r="AA35" s="75"/>
      <c r="AB35" s="206"/>
      <c r="AC35" s="206"/>
      <c r="AD35" s="206"/>
      <c r="AE35" s="206"/>
      <c r="AF35" s="206"/>
      <c r="AG35" s="206"/>
      <c r="AH35" s="75"/>
      <c r="AI35" s="75"/>
      <c r="AJ35" s="75"/>
      <c r="AK35" s="75"/>
      <c r="AL35" s="75"/>
      <c r="AM35" s="75"/>
      <c r="AN35" s="75"/>
      <c r="AO35" s="75"/>
      <c r="AP35" s="75"/>
      <c r="AQ35" s="75"/>
      <c r="AR35" s="75"/>
      <c r="AS35" s="75"/>
      <c r="AT35" s="75"/>
      <c r="AU35" s="75"/>
      <c r="AV35" s="75"/>
      <c r="AW35" s="75"/>
      <c r="AX35" s="75"/>
      <c r="AY35" s="75"/>
      <c r="AZ35" s="75"/>
      <c r="BA35" s="75"/>
      <c r="BB35" s="82"/>
      <c r="BC35" s="83"/>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row>
    <row r="36" spans="1:247" s="85" customFormat="1" ht="16.5" customHeight="1" x14ac:dyDescent="0.35">
      <c r="A36" s="212"/>
      <c r="B36" s="371" t="s">
        <v>168</v>
      </c>
      <c r="C36" s="361"/>
      <c r="D36" s="361"/>
      <c r="E36" s="372"/>
      <c r="F36" s="373">
        <f>IF(I4=0,"",I4/30)</f>
        <v>52.5</v>
      </c>
      <c r="G36" s="374">
        <f>IF(I4=0,"",30)</f>
        <v>30</v>
      </c>
      <c r="H36" s="375">
        <f>IF(I4=0,"",F36*30)</f>
        <v>1575</v>
      </c>
      <c r="I36" s="376"/>
      <c r="J36" s="211"/>
      <c r="K36" s="172"/>
      <c r="L36" s="75"/>
      <c r="M36" s="75">
        <v>851</v>
      </c>
      <c r="N36" s="204" t="str">
        <f t="shared" si="1"/>
        <v/>
      </c>
      <c r="O36" s="204" t="str">
        <f t="shared" si="2"/>
        <v/>
      </c>
      <c r="P36" s="204" t="str">
        <f t="shared" si="3"/>
        <v/>
      </c>
      <c r="Q36" s="204" t="str">
        <f t="shared" si="4"/>
        <v/>
      </c>
      <c r="R36" s="204" t="str">
        <f t="shared" si="5"/>
        <v/>
      </c>
      <c r="S36" s="207" t="str">
        <f t="shared" si="6"/>
        <v/>
      </c>
      <c r="T36" s="75"/>
      <c r="U36" s="205">
        <v>7.8E-2</v>
      </c>
      <c r="V36" s="205">
        <v>4.3999999999999997E-2</v>
      </c>
      <c r="W36" s="205">
        <v>8.9999999999999993E-3</v>
      </c>
      <c r="X36" s="205">
        <v>0</v>
      </c>
      <c r="Y36" s="205">
        <v>0</v>
      </c>
      <c r="Z36" s="205">
        <v>0</v>
      </c>
      <c r="AA36" s="75"/>
      <c r="AB36" s="206"/>
      <c r="AC36" s="206"/>
      <c r="AD36" s="206"/>
      <c r="AE36" s="206"/>
      <c r="AF36" s="206"/>
      <c r="AG36" s="206"/>
      <c r="AH36" s="75"/>
      <c r="AI36" s="75"/>
      <c r="AJ36" s="75"/>
      <c r="AK36" s="75"/>
      <c r="AL36" s="75"/>
      <c r="AM36" s="75"/>
      <c r="AN36" s="75"/>
      <c r="AO36" s="75"/>
      <c r="AP36" s="75"/>
      <c r="AQ36" s="75"/>
      <c r="AR36" s="75"/>
      <c r="AS36" s="75"/>
      <c r="AT36" s="75"/>
      <c r="AU36" s="75"/>
      <c r="AV36" s="75"/>
      <c r="AW36" s="75"/>
      <c r="AX36" s="75"/>
      <c r="AY36" s="75"/>
      <c r="AZ36" s="75"/>
      <c r="BA36" s="75"/>
      <c r="BB36" s="82"/>
      <c r="BC36" s="83"/>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row>
    <row r="37" spans="1:247" s="85" customFormat="1" ht="16.5" customHeight="1" x14ac:dyDescent="0.35">
      <c r="A37" s="212"/>
      <c r="B37" s="352" t="str">
        <f>IF(H37="","","Outros Sub. Colectáveis Normais")</f>
        <v/>
      </c>
      <c r="C37" s="353"/>
      <c r="D37" s="353"/>
      <c r="E37" s="377"/>
      <c r="F37" s="354" t="str">
        <f>IF(I5&gt;0,I5/30,"")</f>
        <v/>
      </c>
      <c r="G37" s="378" t="str">
        <f>IF(I5=0,"",30)</f>
        <v/>
      </c>
      <c r="H37" s="356" t="str">
        <f>IF(I5&gt;0,I5,"")</f>
        <v/>
      </c>
      <c r="I37" s="379"/>
      <c r="J37" s="170"/>
      <c r="K37" s="172"/>
      <c r="L37" s="75"/>
      <c r="M37" s="203">
        <v>964</v>
      </c>
      <c r="N37" s="204" t="str">
        <f t="shared" si="1"/>
        <v/>
      </c>
      <c r="O37" s="204" t="str">
        <f t="shared" si="2"/>
        <v/>
      </c>
      <c r="P37" s="204" t="str">
        <f t="shared" si="3"/>
        <v/>
      </c>
      <c r="Q37" s="204" t="str">
        <f t="shared" si="4"/>
        <v/>
      </c>
      <c r="R37" s="204" t="str">
        <f t="shared" si="5"/>
        <v/>
      </c>
      <c r="S37" s="207" t="str">
        <f t="shared" si="6"/>
        <v/>
      </c>
      <c r="T37" s="75"/>
      <c r="U37" s="205">
        <v>0.1</v>
      </c>
      <c r="V37" s="205">
        <v>6.6000000000000003E-2</v>
      </c>
      <c r="W37" s="205">
        <v>3.4000000000000002E-2</v>
      </c>
      <c r="X37" s="205">
        <v>0</v>
      </c>
      <c r="Y37" s="205">
        <v>0</v>
      </c>
      <c r="Z37" s="205">
        <v>0</v>
      </c>
      <c r="AA37" s="75"/>
      <c r="AB37" s="206"/>
      <c r="AC37" s="206"/>
      <c r="AD37" s="206"/>
      <c r="AE37" s="206"/>
      <c r="AF37" s="206"/>
      <c r="AG37" s="206"/>
      <c r="AH37" s="75"/>
      <c r="AI37" s="75"/>
      <c r="AJ37" s="75"/>
      <c r="AK37" s="75"/>
      <c r="AL37" s="75"/>
      <c r="AM37" s="75"/>
      <c r="AN37" s="75"/>
      <c r="AO37" s="75"/>
      <c r="AP37" s="75"/>
      <c r="AQ37" s="75"/>
      <c r="AR37" s="75"/>
      <c r="AS37" s="75"/>
      <c r="AT37" s="75"/>
      <c r="AU37" s="75"/>
      <c r="AV37" s="75"/>
      <c r="AW37" s="75"/>
      <c r="AX37" s="75"/>
      <c r="AY37" s="75"/>
      <c r="AZ37" s="75"/>
      <c r="BA37" s="75"/>
      <c r="BB37" s="82"/>
      <c r="BC37" s="83"/>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row>
    <row r="38" spans="1:247" s="85" customFormat="1" ht="16.5" customHeight="1" x14ac:dyDescent="0.35">
      <c r="A38" s="212"/>
      <c r="B38" s="352" t="str">
        <f>IF(H38="","","Outros Subsídios, Prémios, etc")</f>
        <v/>
      </c>
      <c r="C38" s="353"/>
      <c r="D38" s="353"/>
      <c r="E38" s="377"/>
      <c r="F38" s="354" t="str">
        <f>IF(I6&gt;0,I6,"")</f>
        <v/>
      </c>
      <c r="G38" s="378" t="str">
        <f>IF(I6=0,"",1)</f>
        <v/>
      </c>
      <c r="H38" s="356" t="str">
        <f>IF(I6&gt;0,I6,"")</f>
        <v/>
      </c>
      <c r="I38" s="379"/>
      <c r="J38" s="170"/>
      <c r="K38" s="172"/>
      <c r="L38" s="75"/>
      <c r="M38" s="203">
        <v>1051</v>
      </c>
      <c r="N38" s="204" t="str">
        <f t="shared" si="1"/>
        <v/>
      </c>
      <c r="O38" s="204" t="str">
        <f t="shared" si="2"/>
        <v/>
      </c>
      <c r="P38" s="204" t="str">
        <f t="shared" si="3"/>
        <v/>
      </c>
      <c r="Q38" s="204" t="str">
        <f t="shared" si="4"/>
        <v/>
      </c>
      <c r="R38" s="204" t="str">
        <f t="shared" si="5"/>
        <v/>
      </c>
      <c r="S38" s="207" t="str">
        <f t="shared" si="6"/>
        <v/>
      </c>
      <c r="T38" s="75"/>
      <c r="U38" s="205">
        <v>0.112</v>
      </c>
      <c r="V38" s="205">
        <v>7.8E-2</v>
      </c>
      <c r="W38" s="205">
        <v>5.6000000000000001E-2</v>
      </c>
      <c r="X38" s="205">
        <v>1.2999999999999999E-2</v>
      </c>
      <c r="Y38" s="205">
        <v>0</v>
      </c>
      <c r="Z38" s="205">
        <v>0</v>
      </c>
      <c r="AA38" s="75"/>
      <c r="AB38" s="206"/>
      <c r="AC38" s="206"/>
      <c r="AD38" s="206"/>
      <c r="AE38" s="206"/>
      <c r="AF38" s="206"/>
      <c r="AG38" s="206"/>
      <c r="AH38" s="75"/>
      <c r="AI38" s="75"/>
      <c r="AJ38" s="75"/>
      <c r="AK38" s="75"/>
      <c r="AL38" s="75"/>
      <c r="AM38" s="75"/>
      <c r="AN38" s="75"/>
      <c r="AO38" s="75"/>
      <c r="AP38" s="75"/>
      <c r="AQ38" s="75"/>
      <c r="AR38" s="75"/>
      <c r="AS38" s="75"/>
      <c r="AT38" s="75"/>
      <c r="AU38" s="75"/>
      <c r="AV38" s="75"/>
      <c r="AW38" s="75"/>
      <c r="AX38" s="75"/>
      <c r="AY38" s="75"/>
      <c r="AZ38" s="75"/>
      <c r="BA38" s="75"/>
      <c r="BB38" s="82"/>
      <c r="BC38" s="83"/>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row>
    <row r="39" spans="1:247" s="85" customFormat="1" ht="16.5" customHeight="1" x14ac:dyDescent="0.35">
      <c r="A39" s="212"/>
      <c r="B39" s="352" t="str">
        <f>IF(H39="","","Subs. Refeição Isento Impostos")</f>
        <v>Subs. Refeição Isento Impostos</v>
      </c>
      <c r="C39" s="353"/>
      <c r="D39" s="353"/>
      <c r="E39" s="353"/>
      <c r="F39" s="354">
        <f>IF(I15&gt;0,IF(I14&gt;Q5,Q5,I14),"")</f>
        <v>6.8319999999999999</v>
      </c>
      <c r="G39" s="378">
        <f>IF(I15&gt;0,I15,"")</f>
        <v>20</v>
      </c>
      <c r="H39" s="356">
        <f>IF(G39="","",O12)</f>
        <v>136.63999999999999</v>
      </c>
      <c r="I39" s="379"/>
      <c r="J39" s="170"/>
      <c r="K39" s="172"/>
      <c r="L39" s="75"/>
      <c r="M39" s="203">
        <v>1113</v>
      </c>
      <c r="N39" s="204" t="str">
        <f t="shared" si="1"/>
        <v/>
      </c>
      <c r="O39" s="204" t="str">
        <f t="shared" si="2"/>
        <v/>
      </c>
      <c r="P39" s="204" t="str">
        <f t="shared" si="3"/>
        <v/>
      </c>
      <c r="Q39" s="204" t="str">
        <f t="shared" si="4"/>
        <v/>
      </c>
      <c r="R39" s="204" t="str">
        <f t="shared" si="5"/>
        <v/>
      </c>
      <c r="S39" s="207" t="str">
        <f t="shared" si="6"/>
        <v/>
      </c>
      <c r="T39" s="75"/>
      <c r="U39" s="205">
        <v>0.12</v>
      </c>
      <c r="V39" s="205">
        <v>8.6999999999999994E-2</v>
      </c>
      <c r="W39" s="205">
        <v>6.4000000000000001E-2</v>
      </c>
      <c r="X39" s="205">
        <v>3.2000000000000001E-2</v>
      </c>
      <c r="Y39" s="205">
        <v>0</v>
      </c>
      <c r="Z39" s="205">
        <v>0</v>
      </c>
      <c r="AA39" s="75"/>
      <c r="AB39" s="206"/>
      <c r="AC39" s="206"/>
      <c r="AD39" s="206"/>
      <c r="AE39" s="206"/>
      <c r="AF39" s="206"/>
      <c r="AG39" s="206"/>
      <c r="AH39" s="75"/>
      <c r="AI39" s="75"/>
      <c r="AJ39" s="75"/>
      <c r="AK39" s="75"/>
      <c r="AL39" s="75"/>
      <c r="AM39" s="75"/>
      <c r="AN39" s="75"/>
      <c r="AO39" s="75"/>
      <c r="AP39" s="75"/>
      <c r="AQ39" s="75"/>
      <c r="AR39" s="75"/>
      <c r="AS39" s="75"/>
      <c r="AT39" s="75"/>
      <c r="AU39" s="75"/>
      <c r="AV39" s="75"/>
      <c r="AW39" s="75"/>
      <c r="AX39" s="75"/>
      <c r="AY39" s="75"/>
      <c r="AZ39" s="75"/>
      <c r="BA39" s="75"/>
      <c r="BB39" s="82"/>
      <c r="BC39" s="83"/>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row>
    <row r="40" spans="1:247" s="85" customFormat="1" ht="16.5" customHeight="1" x14ac:dyDescent="0.35">
      <c r="A40" s="212"/>
      <c r="B40" s="352" t="str">
        <f>IF(H40="","","Subs. Refeição Colectável")</f>
        <v>Subs. Refeição Colectável</v>
      </c>
      <c r="C40" s="353"/>
      <c r="D40" s="353"/>
      <c r="E40" s="353"/>
      <c r="F40" s="354">
        <f>IF(I15&gt;0,IF(I14&gt;Q5,(I14-Q5),""),"")</f>
        <v>0.79800000000000004</v>
      </c>
      <c r="G40" s="378">
        <f>IF(I15&gt;0,IF(I14&gt;Q5,I15,""),"")</f>
        <v>20</v>
      </c>
      <c r="H40" s="356">
        <f>IF(G40="","",O11)</f>
        <v>15.960000000000008</v>
      </c>
      <c r="I40" s="379"/>
      <c r="J40" s="170"/>
      <c r="K40" s="172"/>
      <c r="L40" s="75"/>
      <c r="M40" s="203">
        <v>1194</v>
      </c>
      <c r="N40" s="204" t="str">
        <f t="shared" si="1"/>
        <v/>
      </c>
      <c r="O40" s="204" t="str">
        <f t="shared" si="2"/>
        <v/>
      </c>
      <c r="P40" s="204" t="str">
        <f t="shared" si="3"/>
        <v/>
      </c>
      <c r="Q40" s="204" t="str">
        <f t="shared" si="4"/>
        <v/>
      </c>
      <c r="R40" s="204" t="str">
        <f t="shared" si="5"/>
        <v/>
      </c>
      <c r="S40" s="207" t="str">
        <f t="shared" si="6"/>
        <v/>
      </c>
      <c r="T40" s="75"/>
      <c r="U40" s="205">
        <v>0.13</v>
      </c>
      <c r="V40" s="205">
        <v>0.106</v>
      </c>
      <c r="W40" s="205">
        <v>8.2000000000000003E-2</v>
      </c>
      <c r="X40" s="205">
        <v>0.05</v>
      </c>
      <c r="Y40" s="205">
        <v>2.5999999999999999E-2</v>
      </c>
      <c r="Z40" s="205">
        <v>1E-3</v>
      </c>
      <c r="AA40" s="75"/>
      <c r="AB40" s="206"/>
      <c r="AC40" s="206"/>
      <c r="AD40" s="206"/>
      <c r="AE40" s="206"/>
      <c r="AF40" s="206"/>
      <c r="AG40" s="206"/>
      <c r="AH40" s="75"/>
      <c r="AI40" s="75"/>
      <c r="AJ40" s="75"/>
      <c r="AK40" s="75"/>
      <c r="AL40" s="75"/>
      <c r="AM40" s="75"/>
      <c r="AN40" s="75"/>
      <c r="AO40" s="75"/>
      <c r="AP40" s="75"/>
      <c r="AQ40" s="75"/>
      <c r="AR40" s="75"/>
      <c r="AS40" s="75"/>
      <c r="AT40" s="75"/>
      <c r="AU40" s="75"/>
      <c r="AV40" s="75"/>
      <c r="AW40" s="75"/>
      <c r="AX40" s="75"/>
      <c r="AY40" s="75"/>
      <c r="AZ40" s="75"/>
      <c r="BA40" s="75"/>
      <c r="BB40" s="82"/>
      <c r="BC40" s="83"/>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row>
    <row r="41" spans="1:247" s="85" customFormat="1" ht="16.5" hidden="1" customHeight="1" x14ac:dyDescent="0.35">
      <c r="A41" s="212"/>
      <c r="B41" s="352" t="str">
        <f>IF(H41="","","Horas Extras a 12,50 %")</f>
        <v/>
      </c>
      <c r="C41" s="353"/>
      <c r="D41" s="353"/>
      <c r="E41" s="353"/>
      <c r="F41" s="354" t="str">
        <f>IF(I18&gt;0,P5,"")</f>
        <v/>
      </c>
      <c r="G41" s="378" t="str">
        <f>IF(I18&gt;0,I18,"")</f>
        <v/>
      </c>
      <c r="H41" s="356" t="str">
        <f>IF(N3&gt;0,N3,"")</f>
        <v/>
      </c>
      <c r="I41" s="379"/>
      <c r="J41" s="170"/>
      <c r="K41" s="172"/>
      <c r="L41" s="75"/>
      <c r="M41" s="203">
        <v>1280</v>
      </c>
      <c r="N41" s="204" t="str">
        <f t="shared" si="1"/>
        <v/>
      </c>
      <c r="O41" s="204" t="str">
        <f t="shared" si="2"/>
        <v/>
      </c>
      <c r="P41" s="204" t="str">
        <f t="shared" si="3"/>
        <v/>
      </c>
      <c r="Q41" s="204" t="str">
        <f t="shared" si="4"/>
        <v/>
      </c>
      <c r="R41" s="204" t="str">
        <f t="shared" si="5"/>
        <v/>
      </c>
      <c r="S41" s="207" t="str">
        <f t="shared" si="6"/>
        <v/>
      </c>
      <c r="T41" s="75"/>
      <c r="U41" s="205">
        <v>0.14000000000000001</v>
      </c>
      <c r="V41" s="205">
        <v>0.11700000000000001</v>
      </c>
      <c r="W41" s="205">
        <v>9.1999999999999998E-2</v>
      </c>
      <c r="X41" s="205">
        <v>0.06</v>
      </c>
      <c r="Y41" s="205">
        <v>3.5000000000000003E-2</v>
      </c>
      <c r="Z41" s="205">
        <v>1.0999999999999999E-2</v>
      </c>
      <c r="AA41" s="75"/>
      <c r="AB41" s="206"/>
      <c r="AC41" s="206"/>
      <c r="AD41" s="206"/>
      <c r="AE41" s="206"/>
      <c r="AF41" s="206"/>
      <c r="AG41" s="206"/>
      <c r="AH41" s="75"/>
      <c r="AI41" s="75"/>
      <c r="AJ41" s="75"/>
      <c r="AK41" s="75"/>
      <c r="AL41" s="75"/>
      <c r="AM41" s="75"/>
      <c r="AN41" s="75"/>
      <c r="AO41" s="75"/>
      <c r="AP41" s="75"/>
      <c r="AQ41" s="75"/>
      <c r="AR41" s="75"/>
      <c r="AS41" s="75"/>
      <c r="AT41" s="75"/>
      <c r="AU41" s="75"/>
      <c r="AV41" s="75"/>
      <c r="AW41" s="75"/>
      <c r="AX41" s="75"/>
      <c r="AY41" s="75"/>
      <c r="AZ41" s="75"/>
      <c r="BA41" s="75"/>
      <c r="BB41" s="82"/>
      <c r="BC41" s="83"/>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row>
    <row r="42" spans="1:247" s="85" customFormat="1" ht="16.5" hidden="1" customHeight="1" x14ac:dyDescent="0.35">
      <c r="A42" s="212"/>
      <c r="B42" s="352" t="str">
        <f>IF(H42="","","Horas Extras a 18,75 %")</f>
        <v/>
      </c>
      <c r="C42" s="353"/>
      <c r="D42" s="353"/>
      <c r="E42" s="353"/>
      <c r="F42" s="354" t="str">
        <f>IF(I19&gt;0,P7,"")</f>
        <v/>
      </c>
      <c r="G42" s="378" t="str">
        <f>IF(I19&gt;0,I19,"")</f>
        <v/>
      </c>
      <c r="H42" s="356" t="str">
        <f>IF(N4&gt;0,N4,"")</f>
        <v/>
      </c>
      <c r="I42" s="379"/>
      <c r="J42" s="170"/>
      <c r="K42" s="172"/>
      <c r="L42" s="75"/>
      <c r="M42" s="203">
        <v>1380</v>
      </c>
      <c r="N42" s="204" t="str">
        <f t="shared" si="1"/>
        <v/>
      </c>
      <c r="O42" s="204" t="str">
        <f t="shared" si="2"/>
        <v/>
      </c>
      <c r="P42" s="204" t="str">
        <f t="shared" si="3"/>
        <v/>
      </c>
      <c r="Q42" s="204" t="str">
        <f t="shared" si="4"/>
        <v/>
      </c>
      <c r="R42" s="204" t="str">
        <f t="shared" si="5"/>
        <v/>
      </c>
      <c r="S42" s="207" t="str">
        <f t="shared" si="6"/>
        <v/>
      </c>
      <c r="T42" s="75"/>
      <c r="U42" s="205">
        <v>0.151</v>
      </c>
      <c r="V42" s="205">
        <v>0.127</v>
      </c>
      <c r="W42" s="205">
        <v>0.104</v>
      </c>
      <c r="X42" s="205">
        <v>6.9000000000000006E-2</v>
      </c>
      <c r="Y42" s="205">
        <v>4.4999999999999998E-2</v>
      </c>
      <c r="Z42" s="205">
        <v>2.1000000000000001E-2</v>
      </c>
      <c r="AA42" s="75"/>
      <c r="AB42" s="206"/>
      <c r="AC42" s="206"/>
      <c r="AD42" s="206"/>
      <c r="AE42" s="206"/>
      <c r="AF42" s="206"/>
      <c r="AG42" s="206"/>
      <c r="AH42" s="75"/>
      <c r="AI42" s="75"/>
      <c r="AJ42" s="75"/>
      <c r="AK42" s="75"/>
      <c r="AL42" s="75"/>
      <c r="AM42" s="75"/>
      <c r="AN42" s="75"/>
      <c r="AO42" s="75"/>
      <c r="AP42" s="75"/>
      <c r="AQ42" s="75"/>
      <c r="AR42" s="75"/>
      <c r="AS42" s="75"/>
      <c r="AT42" s="75"/>
      <c r="AU42" s="75"/>
      <c r="AV42" s="75"/>
      <c r="AW42" s="75"/>
      <c r="AX42" s="75"/>
      <c r="AY42" s="75"/>
      <c r="AZ42" s="75"/>
      <c r="BA42" s="75"/>
      <c r="BB42" s="82"/>
      <c r="BC42" s="83"/>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row>
    <row r="43" spans="1:247" s="85" customFormat="1" ht="16.5" hidden="1" customHeight="1" x14ac:dyDescent="0.35">
      <c r="A43" s="212"/>
      <c r="B43" s="352" t="str">
        <f>IF(H43="","","Horas Extras a 25,00 %")</f>
        <v/>
      </c>
      <c r="C43" s="353"/>
      <c r="D43" s="353"/>
      <c r="E43" s="353"/>
      <c r="F43" s="354" t="str">
        <f>IF(I20&gt;0,P9,"")</f>
        <v/>
      </c>
      <c r="G43" s="378" t="str">
        <f>IF(I20&gt;0,I20,"")</f>
        <v/>
      </c>
      <c r="H43" s="356" t="str">
        <f>IF(N5&gt;0,N5,"")</f>
        <v/>
      </c>
      <c r="I43" s="379"/>
      <c r="J43" s="170"/>
      <c r="K43" s="172"/>
      <c r="L43" s="75"/>
      <c r="M43" s="203">
        <v>1466</v>
      </c>
      <c r="N43" s="204" t="str">
        <f t="shared" si="1"/>
        <v/>
      </c>
      <c r="O43" s="204" t="str">
        <f t="shared" si="2"/>
        <v/>
      </c>
      <c r="P43" s="204" t="str">
        <f t="shared" si="3"/>
        <v/>
      </c>
      <c r="Q43" s="204" t="str">
        <f t="shared" si="4"/>
        <v/>
      </c>
      <c r="R43" s="204" t="str">
        <f t="shared" si="5"/>
        <v/>
      </c>
      <c r="S43" s="207" t="str">
        <f t="shared" si="6"/>
        <v/>
      </c>
      <c r="T43" s="75"/>
      <c r="U43" s="205">
        <v>0.16200000000000001</v>
      </c>
      <c r="V43" s="205">
        <v>0.13800000000000001</v>
      </c>
      <c r="W43" s="205">
        <v>0.114</v>
      </c>
      <c r="X43" s="205">
        <v>0.08</v>
      </c>
      <c r="Y43" s="205">
        <v>6.5000000000000002E-2</v>
      </c>
      <c r="Z43" s="205">
        <v>0.04</v>
      </c>
      <c r="AA43" s="75"/>
      <c r="AB43" s="206"/>
      <c r="AC43" s="206"/>
      <c r="AD43" s="206"/>
      <c r="AE43" s="206"/>
      <c r="AF43" s="206"/>
      <c r="AG43" s="206"/>
      <c r="AH43" s="75"/>
      <c r="AI43" s="75"/>
      <c r="AJ43" s="75"/>
      <c r="AK43" s="75"/>
      <c r="AL43" s="75"/>
      <c r="AM43" s="75"/>
      <c r="AN43" s="75"/>
      <c r="AO43" s="75"/>
      <c r="AP43" s="75"/>
      <c r="AQ43" s="75"/>
      <c r="AR43" s="75"/>
      <c r="AS43" s="75"/>
      <c r="AT43" s="75"/>
      <c r="AU43" s="75"/>
      <c r="AV43" s="75"/>
      <c r="AW43" s="75"/>
      <c r="AX43" s="75"/>
      <c r="AY43" s="75"/>
      <c r="AZ43" s="75"/>
      <c r="BA43" s="75"/>
      <c r="BB43" s="82"/>
      <c r="BC43" s="83"/>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row>
    <row r="44" spans="1:247" s="85" customFormat="1" ht="16.5" hidden="1" customHeight="1" x14ac:dyDescent="0.35">
      <c r="A44" s="212"/>
      <c r="B44" s="352" t="str">
        <f>IF(H44="","","Horas Extras a 37,50 %")</f>
        <v/>
      </c>
      <c r="C44" s="353"/>
      <c r="D44" s="353"/>
      <c r="E44" s="353"/>
      <c r="F44" s="354" t="str">
        <f>IF(I21&gt;0,P11,"")</f>
        <v/>
      </c>
      <c r="G44" s="378" t="str">
        <f>IF(I21&gt;0,I21,"")</f>
        <v/>
      </c>
      <c r="H44" s="356" t="str">
        <f>IF(N6&gt;0,N6,"")</f>
        <v/>
      </c>
      <c r="I44" s="379"/>
      <c r="J44" s="170"/>
      <c r="K44" s="172"/>
      <c r="L44" s="75"/>
      <c r="M44" s="203">
        <v>1609</v>
      </c>
      <c r="N44" s="204">
        <f t="shared" si="1"/>
        <v>0.17199999999999999</v>
      </c>
      <c r="O44" s="204">
        <f t="shared" si="2"/>
        <v>0.14799999999999999</v>
      </c>
      <c r="P44" s="204">
        <f t="shared" si="3"/>
        <v>0.123</v>
      </c>
      <c r="Q44" s="204">
        <f t="shared" si="4"/>
        <v>0.1</v>
      </c>
      <c r="R44" s="204">
        <f t="shared" si="5"/>
        <v>7.4999999999999997E-2</v>
      </c>
      <c r="S44" s="207">
        <f t="shared" si="6"/>
        <v>0.05</v>
      </c>
      <c r="T44" s="75"/>
      <c r="U44" s="205">
        <v>0.17199999999999999</v>
      </c>
      <c r="V44" s="205">
        <v>0.14799999999999999</v>
      </c>
      <c r="W44" s="205">
        <v>0.123</v>
      </c>
      <c r="X44" s="205">
        <v>0.1</v>
      </c>
      <c r="Y44" s="205">
        <v>7.4999999999999997E-2</v>
      </c>
      <c r="Z44" s="205">
        <v>0.05</v>
      </c>
      <c r="AA44" s="75"/>
      <c r="AB44" s="206"/>
      <c r="AC44" s="206"/>
      <c r="AD44" s="206"/>
      <c r="AE44" s="206"/>
      <c r="AF44" s="206"/>
      <c r="AG44" s="206"/>
      <c r="AH44" s="75"/>
      <c r="AI44" s="75"/>
      <c r="AJ44" s="75"/>
      <c r="AK44" s="75"/>
      <c r="AL44" s="75"/>
      <c r="AM44" s="75"/>
      <c r="AN44" s="75"/>
      <c r="AO44" s="75"/>
      <c r="AP44" s="75"/>
      <c r="AQ44" s="75"/>
      <c r="AR44" s="75"/>
      <c r="AS44" s="75"/>
      <c r="AT44" s="75"/>
      <c r="AU44" s="75"/>
      <c r="AV44" s="75"/>
      <c r="AW44" s="75"/>
      <c r="AX44" s="75"/>
      <c r="AY44" s="75"/>
      <c r="AZ44" s="75"/>
      <c r="BA44" s="75"/>
      <c r="BB44" s="82"/>
      <c r="BC44" s="83"/>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row>
    <row r="45" spans="1:247" s="85" customFormat="1" ht="16.5" hidden="1" customHeight="1" x14ac:dyDescent="0.35">
      <c r="A45" s="212"/>
      <c r="B45" s="352" t="str">
        <f>IF(H45="","","Horas Extras a 50,00 %")</f>
        <v/>
      </c>
      <c r="C45" s="353"/>
      <c r="D45" s="353"/>
      <c r="E45" s="353"/>
      <c r="F45" s="354" t="str">
        <f>IF(I22&gt;0,P13,"")</f>
        <v/>
      </c>
      <c r="G45" s="378" t="str">
        <f>IF(I22&gt;0,I22,"")</f>
        <v/>
      </c>
      <c r="H45" s="356" t="str">
        <f>IF(N7&gt;0,N7,"")</f>
        <v/>
      </c>
      <c r="I45" s="379"/>
      <c r="J45" s="170"/>
      <c r="K45" s="172"/>
      <c r="L45" s="75"/>
      <c r="M45" s="203">
        <v>1762</v>
      </c>
      <c r="N45" s="204" t="str">
        <f t="shared" si="1"/>
        <v/>
      </c>
      <c r="O45" s="204" t="str">
        <f t="shared" si="2"/>
        <v/>
      </c>
      <c r="P45" s="204" t="str">
        <f t="shared" si="3"/>
        <v/>
      </c>
      <c r="Q45" s="204" t="str">
        <f t="shared" si="4"/>
        <v/>
      </c>
      <c r="R45" s="204" t="str">
        <f t="shared" si="5"/>
        <v/>
      </c>
      <c r="S45" s="207" t="str">
        <f t="shared" si="6"/>
        <v/>
      </c>
      <c r="T45" s="75"/>
      <c r="U45" s="205">
        <v>0.186</v>
      </c>
      <c r="V45" s="205">
        <v>0.16300000000000001</v>
      </c>
      <c r="W45" s="205">
        <v>0.14799999999999999</v>
      </c>
      <c r="X45" s="205">
        <v>0.114</v>
      </c>
      <c r="Y45" s="205">
        <v>8.8999999999999996E-2</v>
      </c>
      <c r="Z45" s="205">
        <v>6.5000000000000002E-2</v>
      </c>
      <c r="AA45" s="75"/>
      <c r="AB45" s="206"/>
      <c r="AC45" s="206"/>
      <c r="AD45" s="206"/>
      <c r="AE45" s="206"/>
      <c r="AF45" s="206"/>
      <c r="AG45" s="206"/>
      <c r="AH45" s="75"/>
      <c r="AI45" s="75"/>
      <c r="AJ45" s="75"/>
      <c r="AK45" s="75"/>
      <c r="AL45" s="75"/>
      <c r="AM45" s="75"/>
      <c r="AN45" s="75"/>
      <c r="AO45" s="75"/>
      <c r="AP45" s="75"/>
      <c r="AQ45" s="75"/>
      <c r="AR45" s="75"/>
      <c r="AS45" s="75"/>
      <c r="AT45" s="75"/>
      <c r="AU45" s="75"/>
      <c r="AV45" s="75"/>
      <c r="AW45" s="75"/>
      <c r="AX45" s="75"/>
      <c r="AY45" s="75"/>
      <c r="AZ45" s="75"/>
      <c r="BA45" s="75"/>
      <c r="BB45" s="82"/>
      <c r="BC45" s="83"/>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row>
    <row r="46" spans="1:247" s="85" customFormat="1" ht="16.5" hidden="1" customHeight="1" x14ac:dyDescent="0.35">
      <c r="A46" s="212"/>
      <c r="B46" s="352" t="str">
        <f>IF(A2&gt;60,"Subsídio Natal Art.º 28","")</f>
        <v/>
      </c>
      <c r="C46" s="353"/>
      <c r="D46" s="353"/>
      <c r="E46" s="353"/>
      <c r="F46" s="354" t="str">
        <f>IF(A2&gt;60,IF(I4&gt;0,(I4+I5)/30,""),"")</f>
        <v/>
      </c>
      <c r="G46" s="380" t="str">
        <f>IF(A2&gt;60,IF(I4=0,"",2.5),"")</f>
        <v/>
      </c>
      <c r="H46" s="356" t="str">
        <f>IF(A2&gt;60,IF(I4&gt;0,L7,""),"")</f>
        <v/>
      </c>
      <c r="I46" s="379"/>
      <c r="J46" s="211"/>
      <c r="K46" s="172"/>
      <c r="L46" s="75"/>
      <c r="M46" s="203">
        <v>1925</v>
      </c>
      <c r="N46" s="204" t="str">
        <f t="shared" si="1"/>
        <v/>
      </c>
      <c r="O46" s="204" t="str">
        <f t="shared" si="2"/>
        <v/>
      </c>
      <c r="P46" s="204" t="str">
        <f t="shared" si="3"/>
        <v/>
      </c>
      <c r="Q46" s="204" t="str">
        <f t="shared" si="4"/>
        <v/>
      </c>
      <c r="R46" s="204" t="str">
        <f t="shared" si="5"/>
        <v/>
      </c>
      <c r="S46" s="207" t="str">
        <f t="shared" si="6"/>
        <v/>
      </c>
      <c r="T46" s="75"/>
      <c r="U46" s="205">
        <v>0.19900000000000001</v>
      </c>
      <c r="V46" s="205">
        <v>0.182</v>
      </c>
      <c r="W46" s="205">
        <v>0.17299999999999999</v>
      </c>
      <c r="X46" s="205">
        <v>0.14499999999999999</v>
      </c>
      <c r="Y46" s="205">
        <v>0.125</v>
      </c>
      <c r="Z46" s="205">
        <v>0.11700000000000001</v>
      </c>
      <c r="AA46" s="75"/>
      <c r="AB46" s="206"/>
      <c r="AC46" s="206"/>
      <c r="AD46" s="206"/>
      <c r="AE46" s="206"/>
      <c r="AF46" s="206"/>
      <c r="AG46" s="206"/>
      <c r="AH46" s="75"/>
      <c r="AI46" s="75"/>
      <c r="AJ46" s="75"/>
      <c r="AK46" s="75"/>
      <c r="AL46" s="75"/>
      <c r="AM46" s="75"/>
      <c r="AN46" s="75"/>
      <c r="AO46" s="75"/>
      <c r="AP46" s="75"/>
      <c r="AQ46" s="75"/>
      <c r="AR46" s="75"/>
      <c r="AS46" s="75"/>
      <c r="AT46" s="75"/>
      <c r="AU46" s="75"/>
      <c r="AV46" s="75"/>
      <c r="AW46" s="75"/>
      <c r="AX46" s="75"/>
      <c r="AY46" s="75"/>
      <c r="AZ46" s="75"/>
      <c r="BA46" s="75"/>
      <c r="BB46" s="82"/>
      <c r="BC46" s="83"/>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row>
    <row r="47" spans="1:247" s="85" customFormat="1" ht="16.5" hidden="1" customHeight="1" x14ac:dyDescent="0.35">
      <c r="A47" s="212"/>
      <c r="B47" s="352" t="str">
        <f>IF(A21=TRUE,IF(A2&lt;7,"Duodécimo das Retribuições Normais (DL 3/2017)",""),"")</f>
        <v/>
      </c>
      <c r="C47" s="353"/>
      <c r="D47" s="353"/>
      <c r="E47" s="353"/>
      <c r="F47" s="354" t="str">
        <f>IF(A21=TRUE,IF(A2&lt;7,IF(I4&gt;0,(I4+I5)/30,""),""),"")</f>
        <v/>
      </c>
      <c r="G47" s="380" t="str">
        <f>IF(A21=TRUE,IF(A2&lt;7,IF(I4=0,"",2.5),""),"")</f>
        <v/>
      </c>
      <c r="H47" s="356" t="str">
        <f>IF(A21=TRUE,IF(A2&lt;7,IF(I4&gt;0,L16,""),""),"")</f>
        <v/>
      </c>
      <c r="I47" s="379"/>
      <c r="J47" s="211"/>
      <c r="K47" s="172"/>
      <c r="L47" s="75"/>
      <c r="M47" s="203">
        <v>2035</v>
      </c>
      <c r="N47" s="204" t="str">
        <f t="shared" si="1"/>
        <v/>
      </c>
      <c r="O47" s="204" t="str">
        <f t="shared" si="2"/>
        <v/>
      </c>
      <c r="P47" s="204" t="str">
        <f t="shared" si="3"/>
        <v/>
      </c>
      <c r="Q47" s="204" t="str">
        <f t="shared" si="4"/>
        <v/>
      </c>
      <c r="R47" s="204" t="str">
        <f t="shared" si="5"/>
        <v/>
      </c>
      <c r="S47" s="207" t="str">
        <f t="shared" si="6"/>
        <v/>
      </c>
      <c r="T47" s="75"/>
      <c r="U47" s="205">
        <v>0.20899999999999999</v>
      </c>
      <c r="V47" s="205">
        <v>0.193</v>
      </c>
      <c r="W47" s="205">
        <v>0.182</v>
      </c>
      <c r="X47" s="205">
        <v>0.155</v>
      </c>
      <c r="Y47" s="205">
        <v>0.14499999999999999</v>
      </c>
      <c r="Z47" s="205">
        <v>0.125</v>
      </c>
      <c r="AA47" s="75"/>
      <c r="AB47" s="206"/>
      <c r="AC47" s="206"/>
      <c r="AD47" s="206"/>
      <c r="AE47" s="206"/>
      <c r="AF47" s="206"/>
      <c r="AG47" s="206"/>
      <c r="AH47" s="75"/>
      <c r="AI47" s="75"/>
      <c r="AJ47" s="75"/>
      <c r="AK47" s="75"/>
      <c r="AL47" s="75"/>
      <c r="AM47" s="75"/>
      <c r="AN47" s="75"/>
      <c r="AO47" s="75"/>
      <c r="AP47" s="75"/>
      <c r="AQ47" s="75"/>
      <c r="AR47" s="75"/>
      <c r="AS47" s="75"/>
      <c r="AT47" s="75"/>
      <c r="AU47" s="75"/>
      <c r="AV47" s="75"/>
      <c r="AW47" s="75"/>
      <c r="AX47" s="75"/>
      <c r="AY47" s="75"/>
      <c r="AZ47" s="75"/>
      <c r="BA47" s="75"/>
      <c r="BB47" s="82"/>
      <c r="BC47" s="83"/>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row>
    <row r="48" spans="1:247" s="85" customFormat="1" ht="16.5" hidden="1" customHeight="1" x14ac:dyDescent="0.35">
      <c r="A48" s="212"/>
      <c r="B48" s="352" t="str">
        <f>IF(H48="","","Subs. Ref. em H. Extra Isento Impostos")</f>
        <v/>
      </c>
      <c r="C48" s="353"/>
      <c r="D48" s="353"/>
      <c r="E48" s="353"/>
      <c r="F48" s="354" t="str">
        <f>IF(I17&gt;0,IF(I14&gt;Q5,Q5,I14),"")</f>
        <v/>
      </c>
      <c r="G48" s="378" t="str">
        <f>IF(I17&gt;0,I17,"")</f>
        <v/>
      </c>
      <c r="H48" s="356"/>
      <c r="I48" s="379"/>
      <c r="J48" s="211"/>
      <c r="K48" s="172"/>
      <c r="L48" s="75"/>
      <c r="M48" s="203">
        <v>2151</v>
      </c>
      <c r="N48" s="204" t="str">
        <f t="shared" si="1"/>
        <v/>
      </c>
      <c r="O48" s="204" t="str">
        <f t="shared" si="2"/>
        <v/>
      </c>
      <c r="P48" s="204" t="str">
        <f t="shared" si="3"/>
        <v/>
      </c>
      <c r="Q48" s="204" t="str">
        <f t="shared" si="4"/>
        <v/>
      </c>
      <c r="R48" s="204" t="str">
        <f t="shared" si="5"/>
        <v/>
      </c>
      <c r="S48" s="207" t="str">
        <f t="shared" si="6"/>
        <v/>
      </c>
      <c r="T48" s="75"/>
      <c r="U48" s="205">
        <v>0.219</v>
      </c>
      <c r="V48" s="205">
        <v>0.20200000000000001</v>
      </c>
      <c r="W48" s="205">
        <v>0.192</v>
      </c>
      <c r="X48" s="205">
        <v>0.16400000000000001</v>
      </c>
      <c r="Y48" s="205">
        <v>0.155</v>
      </c>
      <c r="Z48" s="205">
        <v>0.13500000000000001</v>
      </c>
      <c r="AA48" s="75"/>
      <c r="AB48" s="206"/>
      <c r="AC48" s="206"/>
      <c r="AD48" s="206"/>
      <c r="AE48" s="206"/>
      <c r="AF48" s="206"/>
      <c r="AG48" s="206"/>
      <c r="AH48" s="75"/>
      <c r="AI48" s="75"/>
      <c r="AJ48" s="75"/>
      <c r="AK48" s="75"/>
      <c r="AL48" s="75"/>
      <c r="AM48" s="75"/>
      <c r="AN48" s="75"/>
      <c r="AO48" s="75"/>
      <c r="AP48" s="75"/>
      <c r="AQ48" s="75"/>
      <c r="AR48" s="75"/>
      <c r="AS48" s="75"/>
      <c r="AT48" s="75"/>
      <c r="AU48" s="75"/>
      <c r="AV48" s="75"/>
      <c r="AW48" s="75"/>
      <c r="AX48" s="75"/>
      <c r="AY48" s="75"/>
      <c r="AZ48" s="75"/>
      <c r="BA48" s="75"/>
      <c r="BB48" s="82"/>
      <c r="BC48" s="83"/>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row>
    <row r="49" spans="1:247" s="85" customFormat="1" ht="16.5" hidden="1" customHeight="1" x14ac:dyDescent="0.35">
      <c r="A49" s="212"/>
      <c r="B49" s="352" t="str">
        <f>IF(H49="","","Subs. Ref. em H. Extra Colectável")</f>
        <v/>
      </c>
      <c r="C49" s="353"/>
      <c r="D49" s="353"/>
      <c r="E49" s="353"/>
      <c r="F49" s="354" t="str">
        <f>IF(I17&gt;0,IF(I14&gt;Q5,(I14-Q5),""),"")</f>
        <v/>
      </c>
      <c r="G49" s="378" t="str">
        <f>IF(I17&gt;0,IF(I14&gt;4.27,I17,""),"")</f>
        <v/>
      </c>
      <c r="H49" s="356" t="str">
        <f>IF(G49="","",O13)</f>
        <v/>
      </c>
      <c r="I49" s="379"/>
      <c r="J49" s="170"/>
      <c r="K49" s="172"/>
      <c r="L49" s="75"/>
      <c r="M49" s="203">
        <v>2283</v>
      </c>
      <c r="N49" s="204" t="str">
        <f t="shared" si="1"/>
        <v/>
      </c>
      <c r="O49" s="204" t="str">
        <f t="shared" si="2"/>
        <v/>
      </c>
      <c r="P49" s="204" t="str">
        <f t="shared" si="3"/>
        <v/>
      </c>
      <c r="Q49" s="204" t="str">
        <f t="shared" si="4"/>
        <v/>
      </c>
      <c r="R49" s="204" t="str">
        <f t="shared" si="5"/>
        <v/>
      </c>
      <c r="S49" s="207" t="str">
        <f t="shared" si="6"/>
        <v/>
      </c>
      <c r="T49" s="75"/>
      <c r="U49" s="205">
        <v>0.22800000000000001</v>
      </c>
      <c r="V49" s="205">
        <v>0.21299999999999999</v>
      </c>
      <c r="W49" s="205">
        <v>0.20300000000000001</v>
      </c>
      <c r="X49" s="205">
        <v>0.17499999999999999</v>
      </c>
      <c r="Y49" s="205">
        <v>0.16500000000000001</v>
      </c>
      <c r="Z49" s="205">
        <v>0.14499999999999999</v>
      </c>
      <c r="AA49" s="75"/>
      <c r="AB49" s="206"/>
      <c r="AC49" s="206"/>
      <c r="AD49" s="206"/>
      <c r="AE49" s="206"/>
      <c r="AF49" s="206"/>
      <c r="AG49" s="206"/>
      <c r="AH49" s="75"/>
      <c r="AI49" s="75"/>
      <c r="AJ49" s="75"/>
      <c r="AK49" s="75"/>
      <c r="AL49" s="75"/>
      <c r="AM49" s="75"/>
      <c r="AN49" s="75"/>
      <c r="AO49" s="75"/>
      <c r="AP49" s="75"/>
      <c r="AQ49" s="75"/>
      <c r="AR49" s="75"/>
      <c r="AS49" s="75"/>
      <c r="AT49" s="75"/>
      <c r="AU49" s="75"/>
      <c r="AV49" s="75"/>
      <c r="AW49" s="75"/>
      <c r="AX49" s="75"/>
      <c r="AY49" s="75"/>
      <c r="AZ49" s="75"/>
      <c r="BA49" s="75"/>
      <c r="BB49" s="82"/>
      <c r="BC49" s="83"/>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row>
    <row r="50" spans="1:247" s="85" customFormat="1" ht="16.5" hidden="1" customHeight="1" x14ac:dyDescent="0.35">
      <c r="A50" s="212"/>
      <c r="B50" s="352" t="str">
        <f>IF(H50="","","Valores Sujeitos a IRS e Isentos de Seg. Social")</f>
        <v/>
      </c>
      <c r="C50" s="353"/>
      <c r="D50" s="353"/>
      <c r="E50" s="353"/>
      <c r="F50" s="354" t="str">
        <f>IF(I23&gt;0,I23,"")</f>
        <v/>
      </c>
      <c r="G50" s="378" t="str">
        <f>IF(I23&gt;0,1,"")</f>
        <v/>
      </c>
      <c r="H50" s="356" t="str">
        <f>IF(G50="","",I23)</f>
        <v/>
      </c>
      <c r="I50" s="379"/>
      <c r="J50" s="170"/>
      <c r="K50" s="172"/>
      <c r="L50" s="75"/>
      <c r="M50" s="203">
        <v>2437</v>
      </c>
      <c r="N50" s="204" t="str">
        <f t="shared" si="1"/>
        <v/>
      </c>
      <c r="O50" s="204" t="str">
        <f t="shared" si="2"/>
        <v/>
      </c>
      <c r="P50" s="204" t="str">
        <f t="shared" si="3"/>
        <v/>
      </c>
      <c r="Q50" s="204" t="str">
        <f t="shared" si="4"/>
        <v/>
      </c>
      <c r="R50" s="204" t="str">
        <f t="shared" si="5"/>
        <v/>
      </c>
      <c r="S50" s="207" t="str">
        <f t="shared" si="6"/>
        <v/>
      </c>
      <c r="T50" s="75"/>
      <c r="U50" s="205">
        <v>0.23799999999999999</v>
      </c>
      <c r="V50" s="205">
        <v>0.222</v>
      </c>
      <c r="W50" s="205">
        <v>0.21299999999999999</v>
      </c>
      <c r="X50" s="205">
        <v>0.185</v>
      </c>
      <c r="Y50" s="205">
        <v>0.17599999999999999</v>
      </c>
      <c r="Z50" s="205">
        <v>0.155</v>
      </c>
      <c r="AA50" s="75"/>
      <c r="AB50" s="206"/>
      <c r="AC50" s="206"/>
      <c r="AD50" s="206"/>
      <c r="AE50" s="206"/>
      <c r="AF50" s="206"/>
      <c r="AG50" s="206"/>
      <c r="AH50" s="75"/>
      <c r="AI50" s="75"/>
      <c r="AJ50" s="75"/>
      <c r="AK50" s="75"/>
      <c r="AL50" s="75"/>
      <c r="AM50" s="75"/>
      <c r="AN50" s="75"/>
      <c r="AO50" s="75"/>
      <c r="AP50" s="75"/>
      <c r="AQ50" s="75"/>
      <c r="AR50" s="75"/>
      <c r="AS50" s="75"/>
      <c r="AT50" s="75"/>
      <c r="AU50" s="75"/>
      <c r="AV50" s="75"/>
      <c r="AW50" s="75"/>
      <c r="AX50" s="75"/>
      <c r="AY50" s="75"/>
      <c r="AZ50" s="75"/>
      <c r="BA50" s="75"/>
      <c r="BB50" s="82"/>
      <c r="BC50" s="83"/>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c r="GH50" s="84"/>
      <c r="GI50" s="84"/>
      <c r="GJ50" s="84"/>
      <c r="GK50" s="84"/>
      <c r="GL50" s="84"/>
      <c r="GM50" s="84"/>
      <c r="GN50" s="84"/>
      <c r="GO50" s="84"/>
      <c r="GP50" s="84"/>
      <c r="GQ50" s="84"/>
      <c r="GR50" s="84"/>
      <c r="GS50" s="84"/>
      <c r="GT50" s="84"/>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c r="IL50" s="84"/>
      <c r="IM50" s="84"/>
    </row>
    <row r="51" spans="1:247" s="85" customFormat="1" ht="16.5" hidden="1" customHeight="1" thickBot="1" x14ac:dyDescent="0.4">
      <c r="A51" s="71"/>
      <c r="B51" s="381" t="str">
        <f>IF(H51="","","Outros Sub. Isentos Impostos")</f>
        <v/>
      </c>
      <c r="C51" s="382"/>
      <c r="D51" s="382"/>
      <c r="E51" s="383"/>
      <c r="F51" s="384" t="str">
        <f>IF(I24&gt;0,I24,"")</f>
        <v/>
      </c>
      <c r="G51" s="385" t="str">
        <f>IF(I24&gt;0,I24/I24,"")</f>
        <v/>
      </c>
      <c r="H51" s="386" t="str">
        <f>IF(O16&lt;=0,"",O16)</f>
        <v/>
      </c>
      <c r="I51" s="387"/>
      <c r="J51" s="211"/>
      <c r="K51" s="172"/>
      <c r="L51" s="75"/>
      <c r="M51" s="203">
        <v>2609</v>
      </c>
      <c r="N51" s="204" t="str">
        <f t="shared" si="1"/>
        <v/>
      </c>
      <c r="O51" s="204" t="str">
        <f t="shared" si="2"/>
        <v/>
      </c>
      <c r="P51" s="204" t="str">
        <f t="shared" si="3"/>
        <v/>
      </c>
      <c r="Q51" s="204" t="str">
        <f t="shared" si="4"/>
        <v/>
      </c>
      <c r="R51" s="204" t="str">
        <f t="shared" si="5"/>
        <v/>
      </c>
      <c r="S51" s="207" t="str">
        <f t="shared" si="6"/>
        <v/>
      </c>
      <c r="T51" s="75"/>
      <c r="U51" s="205">
        <v>0.248</v>
      </c>
      <c r="V51" s="205">
        <v>0.24199999999999999</v>
      </c>
      <c r="W51" s="205">
        <v>0.222</v>
      </c>
      <c r="X51" s="205">
        <v>0.20399999999999999</v>
      </c>
      <c r="Y51" s="205">
        <v>0.185</v>
      </c>
      <c r="Z51" s="205">
        <v>0.17599999999999999</v>
      </c>
      <c r="AA51" s="75"/>
      <c r="AB51" s="206"/>
      <c r="AC51" s="206"/>
      <c r="AD51" s="206"/>
      <c r="AE51" s="206"/>
      <c r="AF51" s="206"/>
      <c r="AG51" s="206"/>
      <c r="AH51" s="75"/>
      <c r="AI51" s="75"/>
      <c r="AJ51" s="75"/>
      <c r="AK51" s="75"/>
      <c r="AL51" s="75"/>
      <c r="AM51" s="75"/>
      <c r="AN51" s="75"/>
      <c r="AO51" s="75"/>
      <c r="AP51" s="75"/>
      <c r="AQ51" s="75"/>
      <c r="AR51" s="75"/>
      <c r="AS51" s="75"/>
      <c r="AT51" s="75"/>
      <c r="AU51" s="75"/>
      <c r="AV51" s="75"/>
      <c r="AW51" s="75"/>
      <c r="AX51" s="75"/>
      <c r="AY51" s="75"/>
      <c r="AZ51" s="75"/>
      <c r="BA51" s="75"/>
      <c r="BB51" s="82"/>
      <c r="BC51" s="83"/>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c r="GJ51" s="84"/>
      <c r="GK51" s="84"/>
      <c r="GL51" s="84"/>
      <c r="GM51" s="84"/>
      <c r="GN51" s="84"/>
      <c r="GO51" s="84"/>
      <c r="GP51" s="84"/>
      <c r="GQ51" s="84"/>
      <c r="GR51" s="84"/>
      <c r="GS51" s="84"/>
      <c r="GT51" s="84"/>
      <c r="GU51" s="84"/>
      <c r="GV51" s="84"/>
      <c r="GW51" s="84"/>
      <c r="GX51" s="84"/>
      <c r="GY51" s="84"/>
      <c r="GZ51" s="84"/>
      <c r="HA51" s="84"/>
      <c r="HB51" s="84"/>
      <c r="HC51" s="84"/>
      <c r="HD51" s="84"/>
      <c r="HE51" s="84"/>
      <c r="HF51" s="84"/>
      <c r="HG51" s="84"/>
      <c r="HH51" s="84"/>
      <c r="HI51" s="84"/>
      <c r="HJ51" s="84"/>
      <c r="HK51" s="84"/>
      <c r="HL51" s="84"/>
      <c r="HM51" s="84"/>
      <c r="HN51" s="84"/>
      <c r="HO51" s="84"/>
      <c r="HP51" s="84"/>
      <c r="HQ51" s="84"/>
      <c r="HR51" s="84"/>
      <c r="HS51" s="84"/>
      <c r="HT51" s="84"/>
      <c r="HU51" s="84"/>
      <c r="HV51" s="84"/>
      <c r="HW51" s="84"/>
      <c r="HX51" s="84"/>
      <c r="HY51" s="84"/>
      <c r="HZ51" s="84"/>
      <c r="IA51" s="84"/>
      <c r="IB51" s="84"/>
      <c r="IC51" s="84"/>
      <c r="ID51" s="84"/>
      <c r="IE51" s="84"/>
      <c r="IF51" s="84"/>
      <c r="IG51" s="84"/>
      <c r="IH51" s="84"/>
      <c r="II51" s="84"/>
      <c r="IJ51" s="84"/>
      <c r="IK51" s="84"/>
      <c r="IL51" s="84"/>
      <c r="IM51" s="84"/>
    </row>
    <row r="52" spans="1:247" s="85" customFormat="1" ht="16.5" customHeight="1" x14ac:dyDescent="0.35">
      <c r="A52" s="71"/>
      <c r="B52" s="360" t="str">
        <f>"Segurança Social"&amp;IF(A2&gt;6," / Caixa Geral Aposentações","")</f>
        <v>Segurança Social</v>
      </c>
      <c r="C52" s="361"/>
      <c r="D52" s="361"/>
      <c r="E52" s="361"/>
      <c r="F52" s="362">
        <f>IF(N17&gt;0,N17+L16+L8-N8,"")</f>
        <v>1590.96</v>
      </c>
      <c r="G52" s="363">
        <f>IF(N17&gt;0,INDEX(Y7:AC18,A18,5),"")</f>
        <v>0.11</v>
      </c>
      <c r="H52" s="364"/>
      <c r="I52" s="392">
        <f>S9</f>
        <v>175.01</v>
      </c>
      <c r="J52" s="170"/>
      <c r="K52" s="172"/>
      <c r="L52" s="75"/>
      <c r="M52" s="203">
        <v>2848</v>
      </c>
      <c r="N52" s="204" t="str">
        <f>IF($R$11&lt;=M52,IF($R$11&gt;=M51+0.01,U52,""),"")</f>
        <v/>
      </c>
      <c r="O52" s="204" t="str">
        <f>IF($R$11&lt;=M52,IF($R$11&gt;=M51+0.01,V52,""),"")</f>
        <v/>
      </c>
      <c r="P52" s="204" t="str">
        <f>IF($R$11&lt;=M52,IF($R$11&gt;=M51+0.01,W52,""),"")</f>
        <v/>
      </c>
      <c r="Q52" s="204" t="str">
        <f>IF($R$11&lt;=M52,IF($R$11&gt;=M51+0.01,X52,""),"")</f>
        <v/>
      </c>
      <c r="R52" s="204" t="str">
        <f>IF($R$11&lt;=M52,IF($R$11&gt;=M51+0.01,Y52,""),"")</f>
        <v/>
      </c>
      <c r="S52" s="207" t="str">
        <f>IF($R$11&lt;=M52,IF($R$11&gt;=M51+0.01,Z52,""),"")</f>
        <v/>
      </c>
      <c r="T52" s="75"/>
      <c r="U52" s="205">
        <v>0.25800000000000001</v>
      </c>
      <c r="V52" s="205">
        <v>0.251</v>
      </c>
      <c r="W52" s="205">
        <v>0.23300000000000001</v>
      </c>
      <c r="X52" s="205">
        <v>0.214</v>
      </c>
      <c r="Y52" s="205">
        <v>0.19400000000000001</v>
      </c>
      <c r="Z52" s="205">
        <v>0.185</v>
      </c>
      <c r="AA52" s="75"/>
      <c r="AB52" s="206"/>
      <c r="AC52" s="206"/>
      <c r="AD52" s="206"/>
      <c r="AE52" s="206"/>
      <c r="AF52" s="206"/>
      <c r="AG52" s="206"/>
      <c r="AH52" s="75"/>
      <c r="AI52" s="75"/>
      <c r="AJ52" s="75"/>
      <c r="AK52" s="75"/>
      <c r="AL52" s="75"/>
      <c r="AM52" s="75"/>
      <c r="AN52" s="75"/>
      <c r="AO52" s="75"/>
      <c r="AP52" s="75"/>
      <c r="AQ52" s="75"/>
      <c r="AR52" s="75"/>
      <c r="AS52" s="75"/>
      <c r="AT52" s="75"/>
      <c r="AU52" s="75"/>
      <c r="AV52" s="75"/>
      <c r="AW52" s="75"/>
      <c r="AX52" s="75"/>
      <c r="AY52" s="75"/>
      <c r="AZ52" s="75"/>
      <c r="BA52" s="75"/>
      <c r="BB52" s="82"/>
      <c r="BC52" s="83"/>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c r="GJ52" s="84"/>
      <c r="GK52" s="84"/>
      <c r="GL52" s="84"/>
      <c r="GM52" s="84"/>
      <c r="GN52" s="84"/>
      <c r="GO52" s="84"/>
      <c r="GP52" s="84"/>
      <c r="GQ52" s="84"/>
      <c r="GR52" s="84"/>
      <c r="GS52" s="84"/>
      <c r="GT52" s="84"/>
      <c r="GU52" s="84"/>
      <c r="GV52" s="84"/>
      <c r="GW52" s="84"/>
      <c r="GX52" s="84"/>
      <c r="GY52" s="84"/>
      <c r="GZ52" s="84"/>
      <c r="HA52" s="84"/>
      <c r="HB52" s="84"/>
      <c r="HC52" s="84"/>
      <c r="HD52" s="84"/>
      <c r="HE52" s="84"/>
      <c r="HF52" s="84"/>
      <c r="HG52" s="84"/>
      <c r="HH52" s="84"/>
      <c r="HI52" s="84"/>
      <c r="HJ52" s="84"/>
      <c r="HK52" s="84"/>
      <c r="HL52" s="84"/>
      <c r="HM52" s="84"/>
      <c r="HN52" s="84"/>
      <c r="HO52" s="84"/>
      <c r="HP52" s="84"/>
      <c r="HQ52" s="84"/>
      <c r="HR52" s="84"/>
      <c r="HS52" s="84"/>
      <c r="HT52" s="84"/>
      <c r="HU52" s="84"/>
      <c r="HV52" s="84"/>
      <c r="HW52" s="84"/>
      <c r="HX52" s="84"/>
      <c r="HY52" s="84"/>
      <c r="HZ52" s="84"/>
      <c r="IA52" s="84"/>
      <c r="IB52" s="84"/>
      <c r="IC52" s="84"/>
      <c r="ID52" s="84"/>
      <c r="IE52" s="84"/>
      <c r="IF52" s="84"/>
      <c r="IG52" s="84"/>
      <c r="IH52" s="84"/>
      <c r="II52" s="84"/>
      <c r="IJ52" s="84"/>
      <c r="IK52" s="84"/>
      <c r="IL52" s="84"/>
      <c r="IM52" s="84"/>
    </row>
    <row r="53" spans="1:247" s="85" customFormat="1" ht="16.5" customHeight="1" x14ac:dyDescent="0.35">
      <c r="A53" s="71"/>
      <c r="B53" s="319" t="str">
        <f>IF(G53&lt;&gt;"","ADSE","")</f>
        <v/>
      </c>
      <c r="C53" s="353"/>
      <c r="D53" s="353"/>
      <c r="E53" s="353"/>
      <c r="F53" s="358" t="str">
        <f>IF(G53&lt;&gt;"",IF(N17&gt;0,N17+L8,""),"")</f>
        <v/>
      </c>
      <c r="G53" s="355" t="str">
        <f>IF(A2&gt;6,IF(A19=TRUE,3.5%,""),"")</f>
        <v/>
      </c>
      <c r="H53" s="359"/>
      <c r="I53" s="357" t="str">
        <f>IF(A2&gt;6,IF(A19=TRUE,T9,""),"")</f>
        <v/>
      </c>
      <c r="J53" s="211"/>
      <c r="K53" s="172"/>
      <c r="L53" s="75"/>
      <c r="M53" s="203">
        <v>3195</v>
      </c>
      <c r="N53" s="204" t="str">
        <f t="shared" si="1"/>
        <v/>
      </c>
      <c r="O53" s="204" t="str">
        <f t="shared" si="2"/>
        <v/>
      </c>
      <c r="P53" s="204" t="str">
        <f t="shared" si="3"/>
        <v/>
      </c>
      <c r="Q53" s="204" t="str">
        <f t="shared" si="4"/>
        <v/>
      </c>
      <c r="R53" s="204" t="str">
        <f t="shared" si="5"/>
        <v/>
      </c>
      <c r="S53" s="207" t="str">
        <f t="shared" si="6"/>
        <v/>
      </c>
      <c r="T53" s="75"/>
      <c r="U53" s="205">
        <v>0.27</v>
      </c>
      <c r="V53" s="205">
        <v>0.26400000000000001</v>
      </c>
      <c r="W53" s="205">
        <v>0.245</v>
      </c>
      <c r="X53" s="205">
        <v>0.22500000000000001</v>
      </c>
      <c r="Y53" s="205">
        <v>0.20599999999999999</v>
      </c>
      <c r="Z53" s="205">
        <v>0.19600000000000001</v>
      </c>
      <c r="AA53" s="75"/>
      <c r="AB53" s="206"/>
      <c r="AC53" s="206"/>
      <c r="AD53" s="206"/>
      <c r="AE53" s="206"/>
      <c r="AF53" s="206"/>
      <c r="AG53" s="206"/>
      <c r="AH53" s="75"/>
      <c r="AI53" s="75"/>
      <c r="AJ53" s="75"/>
      <c r="AK53" s="75"/>
      <c r="AL53" s="75"/>
      <c r="AM53" s="75"/>
      <c r="AN53" s="75"/>
      <c r="AO53" s="75"/>
      <c r="AP53" s="75"/>
      <c r="AQ53" s="75"/>
      <c r="AR53" s="75"/>
      <c r="AS53" s="75"/>
      <c r="AT53" s="75"/>
      <c r="AU53" s="75"/>
      <c r="AV53" s="75"/>
      <c r="AW53" s="75"/>
      <c r="AX53" s="75"/>
      <c r="AY53" s="75"/>
      <c r="AZ53" s="75"/>
      <c r="BA53" s="75"/>
      <c r="BB53" s="82"/>
      <c r="BC53" s="83"/>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c r="HJ53" s="84"/>
      <c r="HK53" s="84"/>
      <c r="HL53" s="84"/>
      <c r="HM53" s="84"/>
      <c r="HN53" s="84"/>
      <c r="HO53" s="84"/>
      <c r="HP53" s="84"/>
      <c r="HQ53" s="84"/>
      <c r="HR53" s="84"/>
      <c r="HS53" s="84"/>
      <c r="HT53" s="84"/>
      <c r="HU53" s="84"/>
      <c r="HV53" s="84"/>
      <c r="HW53" s="84"/>
      <c r="HX53" s="84"/>
      <c r="HY53" s="84"/>
      <c r="HZ53" s="84"/>
      <c r="IA53" s="84"/>
      <c r="IB53" s="84"/>
      <c r="IC53" s="84"/>
      <c r="ID53" s="84"/>
      <c r="IE53" s="84"/>
      <c r="IF53" s="84"/>
      <c r="IG53" s="84"/>
      <c r="IH53" s="84"/>
      <c r="II53" s="84"/>
      <c r="IJ53" s="84"/>
      <c r="IK53" s="84"/>
      <c r="IL53" s="84"/>
      <c r="IM53" s="84"/>
    </row>
    <row r="54" spans="1:247" s="85" customFormat="1" ht="16.5" customHeight="1" x14ac:dyDescent="0.35">
      <c r="A54" s="71"/>
      <c r="B54" s="319" t="s">
        <v>169</v>
      </c>
      <c r="C54" s="353"/>
      <c r="D54" s="353"/>
      <c r="E54" s="353"/>
      <c r="F54" s="358">
        <f>IF(N17&gt;0,N17+L8+L16,"")</f>
        <v>1590.96</v>
      </c>
      <c r="G54" s="355">
        <f>IF(N17&gt;0,IF(Q11&gt;=0,Q11,""),"")</f>
        <v>0.14799999999999999</v>
      </c>
      <c r="H54" s="359"/>
      <c r="I54" s="393">
        <f>IF(Q13&gt;0,(Q13),0)</f>
        <v>235</v>
      </c>
      <c r="J54" s="170"/>
      <c r="K54" s="172"/>
      <c r="L54" s="75"/>
      <c r="M54" s="203">
        <v>3637</v>
      </c>
      <c r="N54" s="204" t="str">
        <f t="shared" si="1"/>
        <v/>
      </c>
      <c r="O54" s="204" t="str">
        <f t="shared" si="2"/>
        <v/>
      </c>
      <c r="P54" s="204" t="str">
        <f t="shared" si="3"/>
        <v/>
      </c>
      <c r="Q54" s="204" t="str">
        <f t="shared" si="4"/>
        <v/>
      </c>
      <c r="R54" s="204" t="str">
        <f t="shared" si="5"/>
        <v/>
      </c>
      <c r="S54" s="207" t="str">
        <f t="shared" si="6"/>
        <v/>
      </c>
      <c r="T54" s="75"/>
      <c r="U54" s="205">
        <v>0.28599999999999998</v>
      </c>
      <c r="V54" s="205">
        <v>0.28299999999999997</v>
      </c>
      <c r="W54" s="205">
        <v>0.26800000000000002</v>
      </c>
      <c r="X54" s="205">
        <v>0.252</v>
      </c>
      <c r="Y54" s="205">
        <v>0.246</v>
      </c>
      <c r="Z54" s="205">
        <v>0.23</v>
      </c>
      <c r="AA54" s="75"/>
      <c r="AB54" s="206"/>
      <c r="AC54" s="206"/>
      <c r="AD54" s="206"/>
      <c r="AE54" s="206"/>
      <c r="AF54" s="206"/>
      <c r="AG54" s="206"/>
      <c r="AH54" s="75"/>
      <c r="AI54" s="75"/>
      <c r="AJ54" s="75"/>
      <c r="AK54" s="75"/>
      <c r="AL54" s="75"/>
      <c r="AM54" s="75"/>
      <c r="AN54" s="75"/>
      <c r="AO54" s="75"/>
      <c r="AP54" s="75"/>
      <c r="AQ54" s="75"/>
      <c r="AR54" s="75"/>
      <c r="AS54" s="75"/>
      <c r="AT54" s="75"/>
      <c r="AU54" s="75"/>
      <c r="AV54" s="75"/>
      <c r="AW54" s="75"/>
      <c r="AX54" s="75"/>
      <c r="AY54" s="75"/>
      <c r="AZ54" s="75"/>
      <c r="BA54" s="75"/>
      <c r="BB54" s="82"/>
      <c r="BC54" s="83"/>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c r="GH54" s="84"/>
      <c r="GI54" s="84"/>
      <c r="GJ54" s="84"/>
      <c r="GK54" s="84"/>
      <c r="GL54" s="84"/>
      <c r="GM54" s="84"/>
      <c r="GN54" s="84"/>
      <c r="GO54" s="84"/>
      <c r="GP54" s="84"/>
      <c r="GQ54" s="84"/>
      <c r="GR54" s="84"/>
      <c r="GS54" s="84"/>
      <c r="GT54" s="84"/>
      <c r="GU54" s="84"/>
      <c r="GV54" s="84"/>
      <c r="GW54" s="84"/>
      <c r="GX54" s="84"/>
      <c r="GY54" s="84"/>
      <c r="GZ54" s="84"/>
      <c r="HA54" s="84"/>
      <c r="HB54" s="84"/>
      <c r="HC54" s="84"/>
      <c r="HD54" s="84"/>
      <c r="HE54" s="84"/>
      <c r="HF54" s="84"/>
      <c r="HG54" s="84"/>
      <c r="HH54" s="84"/>
      <c r="HI54" s="84"/>
      <c r="HJ54" s="84"/>
      <c r="HK54" s="84"/>
      <c r="HL54" s="84"/>
      <c r="HM54" s="84"/>
      <c r="HN54" s="84"/>
      <c r="HO54" s="84"/>
      <c r="HP54" s="84"/>
      <c r="HQ54" s="84"/>
      <c r="HR54" s="84"/>
      <c r="HS54" s="84"/>
      <c r="HT54" s="84"/>
      <c r="HU54" s="84"/>
      <c r="HV54" s="84"/>
      <c r="HW54" s="84"/>
      <c r="HX54" s="84"/>
      <c r="HY54" s="84"/>
      <c r="HZ54" s="84"/>
      <c r="IA54" s="84"/>
      <c r="IB54" s="84"/>
      <c r="IC54" s="84"/>
      <c r="ID54" s="84"/>
      <c r="IE54" s="84"/>
      <c r="IF54" s="84"/>
      <c r="IG54" s="84"/>
      <c r="IH54" s="84"/>
      <c r="II54" s="84"/>
      <c r="IJ54" s="84"/>
      <c r="IK54" s="84"/>
      <c r="IL54" s="84"/>
      <c r="IM54" s="84"/>
    </row>
    <row r="55" spans="1:247" s="85" customFormat="1" ht="16.5" customHeight="1" thickBot="1" x14ac:dyDescent="0.4">
      <c r="A55" s="71"/>
      <c r="B55" s="352" t="str">
        <f>IF(A2&lt;-1,"Redução Remuneratória Art.º 27","")</f>
        <v/>
      </c>
      <c r="C55" s="353"/>
      <c r="D55" s="353"/>
      <c r="E55" s="353"/>
      <c r="F55" s="354" t="str">
        <f>IF(A2&lt;-1,IF(I4&gt;0,L2,0),"")</f>
        <v/>
      </c>
      <c r="G55" s="355" t="str">
        <f>IF(A2&lt;-1,IF(I4&gt;0,L15,0),"")</f>
        <v/>
      </c>
      <c r="H55" s="356"/>
      <c r="I55" s="357" t="str">
        <f>IF(A2&lt;-1,IF(I4&gt;0,L12+L13,0),"")</f>
        <v/>
      </c>
      <c r="J55" s="170"/>
      <c r="K55" s="172"/>
      <c r="L55" s="75"/>
      <c r="M55" s="203">
        <v>4239</v>
      </c>
      <c r="N55" s="204" t="str">
        <f t="shared" si="1"/>
        <v/>
      </c>
      <c r="O55" s="204" t="str">
        <f t="shared" si="2"/>
        <v/>
      </c>
      <c r="P55" s="204" t="str">
        <f t="shared" si="3"/>
        <v/>
      </c>
      <c r="Q55" s="204" t="str">
        <f t="shared" si="4"/>
        <v/>
      </c>
      <c r="R55" s="204" t="str">
        <f t="shared" si="5"/>
        <v/>
      </c>
      <c r="S55" s="207" t="str">
        <f t="shared" si="6"/>
        <v/>
      </c>
      <c r="T55" s="75"/>
      <c r="U55" s="205">
        <v>0.29699999999999999</v>
      </c>
      <c r="V55" s="205">
        <v>0.29499999999999998</v>
      </c>
      <c r="W55" s="205">
        <v>0.27700000000000002</v>
      </c>
      <c r="X55" s="205">
        <v>0.26200000000000001</v>
      </c>
      <c r="Y55" s="205">
        <v>0.25600000000000001</v>
      </c>
      <c r="Z55" s="205">
        <v>0.25</v>
      </c>
      <c r="AA55" s="75"/>
      <c r="AB55" s="206"/>
      <c r="AC55" s="206"/>
      <c r="AD55" s="206"/>
      <c r="AE55" s="206"/>
      <c r="AF55" s="206"/>
      <c r="AG55" s="206"/>
      <c r="AH55" s="75"/>
      <c r="AI55" s="75"/>
      <c r="AJ55" s="75"/>
      <c r="AK55" s="75"/>
      <c r="AL55" s="75"/>
      <c r="AM55" s="75"/>
      <c r="AN55" s="75"/>
      <c r="AO55" s="75"/>
      <c r="AP55" s="75"/>
      <c r="AQ55" s="75"/>
      <c r="AR55" s="75"/>
      <c r="AS55" s="75"/>
      <c r="AT55" s="75"/>
      <c r="AU55" s="75"/>
      <c r="AV55" s="75"/>
      <c r="AW55" s="75"/>
      <c r="AX55" s="75"/>
      <c r="AY55" s="75"/>
      <c r="AZ55" s="75"/>
      <c r="BA55" s="75"/>
      <c r="BB55" s="82"/>
      <c r="BC55" s="83"/>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c r="IL55" s="84"/>
      <c r="IM55" s="84"/>
    </row>
    <row r="56" spans="1:247" s="85" customFormat="1" ht="16.5" hidden="1" customHeight="1" x14ac:dyDescent="0.35">
      <c r="A56" s="71"/>
      <c r="B56" s="213"/>
      <c r="C56" s="214"/>
      <c r="D56" s="214"/>
      <c r="E56" s="214"/>
      <c r="F56" s="215"/>
      <c r="G56" s="220"/>
      <c r="H56" s="216"/>
      <c r="I56" s="222"/>
      <c r="J56" s="75"/>
      <c r="K56" s="172"/>
      <c r="L56" s="75"/>
      <c r="M56" s="203">
        <v>4786</v>
      </c>
      <c r="N56" s="204" t="str">
        <f t="shared" si="1"/>
        <v/>
      </c>
      <c r="O56" s="204" t="str">
        <f t="shared" si="2"/>
        <v/>
      </c>
      <c r="P56" s="204" t="str">
        <f t="shared" si="3"/>
        <v/>
      </c>
      <c r="Q56" s="204" t="str">
        <f t="shared" si="4"/>
        <v/>
      </c>
      <c r="R56" s="204" t="str">
        <f t="shared" si="5"/>
        <v/>
      </c>
      <c r="S56" s="207" t="str">
        <f t="shared" si="6"/>
        <v/>
      </c>
      <c r="T56" s="75"/>
      <c r="U56" s="205">
        <v>0.314</v>
      </c>
      <c r="V56" s="205">
        <v>0.31</v>
      </c>
      <c r="W56" s="205">
        <v>0.29399999999999998</v>
      </c>
      <c r="X56" s="205">
        <v>0.27600000000000002</v>
      </c>
      <c r="Y56" s="205">
        <v>0.27</v>
      </c>
      <c r="Z56" s="205">
        <v>0.26500000000000001</v>
      </c>
      <c r="AA56" s="75"/>
      <c r="AB56" s="206"/>
      <c r="AC56" s="206"/>
      <c r="AD56" s="206"/>
      <c r="AE56" s="206"/>
      <c r="AF56" s="206"/>
      <c r="AG56" s="206"/>
      <c r="AH56" s="75"/>
      <c r="AI56" s="75"/>
      <c r="AJ56" s="75"/>
      <c r="AK56" s="75"/>
      <c r="AL56" s="75"/>
      <c r="AM56" s="75"/>
      <c r="AN56" s="75"/>
      <c r="AO56" s="75"/>
      <c r="AP56" s="75"/>
      <c r="AQ56" s="75"/>
      <c r="AR56" s="75"/>
      <c r="AS56" s="75"/>
      <c r="AT56" s="75"/>
      <c r="AU56" s="75"/>
      <c r="AV56" s="75"/>
      <c r="AW56" s="75"/>
      <c r="AX56" s="75"/>
      <c r="AY56" s="75"/>
      <c r="AZ56" s="75"/>
      <c r="BA56" s="75"/>
      <c r="BB56" s="82"/>
      <c r="BC56" s="83"/>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row>
    <row r="57" spans="1:247" s="85" customFormat="1" ht="16.5" hidden="1" customHeight="1" x14ac:dyDescent="0.35">
      <c r="A57" s="71"/>
      <c r="B57" s="218" t="str">
        <f>IF(G57&lt;&gt;"","Quotas Sindicato s/ Vencimento","")</f>
        <v/>
      </c>
      <c r="C57" s="214"/>
      <c r="D57" s="214"/>
      <c r="E57" s="214"/>
      <c r="F57" s="219" t="str">
        <f>IF(A16=TRUE,IF(G57&lt;&gt;"",L10+IF(A2&gt;6,L10/12,0)+IF(A21=TRUE,L10/12,0)),"")</f>
        <v/>
      </c>
      <c r="G57" s="220" t="str">
        <f>IF(A16=TRUE,1%,"")</f>
        <v/>
      </c>
      <c r="H57" s="221"/>
      <c r="I57" s="222" t="str">
        <f>IF(A16=TRUE,R5,"")</f>
        <v/>
      </c>
      <c r="J57" s="75"/>
      <c r="K57" s="172"/>
      <c r="L57" s="75"/>
      <c r="M57" s="203">
        <v>5346</v>
      </c>
      <c r="N57" s="204" t="str">
        <f t="shared" si="1"/>
        <v/>
      </c>
      <c r="O57" s="204" t="str">
        <f t="shared" si="2"/>
        <v/>
      </c>
      <c r="P57" s="204" t="str">
        <f t="shared" si="3"/>
        <v/>
      </c>
      <c r="Q57" s="204" t="str">
        <f t="shared" si="4"/>
        <v/>
      </c>
      <c r="R57" s="204" t="str">
        <f t="shared" si="5"/>
        <v/>
      </c>
      <c r="S57" s="207" t="str">
        <f t="shared" si="6"/>
        <v/>
      </c>
      <c r="T57" s="75"/>
      <c r="U57" s="205">
        <v>0.32300000000000001</v>
      </c>
      <c r="V57" s="205">
        <v>0.318</v>
      </c>
      <c r="W57" s="205">
        <v>0.313</v>
      </c>
      <c r="X57" s="205">
        <v>0.28899999999999998</v>
      </c>
      <c r="Y57" s="205">
        <v>0.28000000000000003</v>
      </c>
      <c r="Z57" s="205">
        <v>0.27400000000000002</v>
      </c>
      <c r="AA57" s="75"/>
      <c r="AB57" s="206"/>
      <c r="AC57" s="206"/>
      <c r="AD57" s="206"/>
      <c r="AE57" s="206"/>
      <c r="AF57" s="206"/>
      <c r="AG57" s="206"/>
      <c r="AH57" s="75"/>
      <c r="AI57" s="75"/>
      <c r="AJ57" s="75"/>
      <c r="AK57" s="75"/>
      <c r="AL57" s="75"/>
      <c r="AM57" s="75"/>
      <c r="AN57" s="75"/>
      <c r="AO57" s="75"/>
      <c r="AP57" s="75"/>
      <c r="AQ57" s="75"/>
      <c r="AR57" s="75"/>
      <c r="AS57" s="75"/>
      <c r="AT57" s="75"/>
      <c r="AU57" s="75"/>
      <c r="AV57" s="75"/>
      <c r="AW57" s="75"/>
      <c r="AX57" s="75"/>
      <c r="AY57" s="75"/>
      <c r="AZ57" s="75"/>
      <c r="BA57" s="75"/>
      <c r="BB57" s="82"/>
      <c r="BC57" s="83"/>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c r="HB57" s="84"/>
      <c r="HC57" s="84"/>
      <c r="HD57" s="84"/>
      <c r="HE57" s="84"/>
      <c r="HF57" s="84"/>
      <c r="HG57" s="84"/>
      <c r="HH57" s="84"/>
      <c r="HI57" s="84"/>
      <c r="HJ57" s="84"/>
      <c r="HK57" s="84"/>
      <c r="HL57" s="84"/>
      <c r="HM57" s="84"/>
      <c r="HN57" s="84"/>
      <c r="HO57" s="84"/>
      <c r="HP57" s="84"/>
      <c r="HQ57" s="84"/>
      <c r="HR57" s="84"/>
      <c r="HS57" s="84"/>
      <c r="HT57" s="84"/>
      <c r="HU57" s="84"/>
      <c r="HV57" s="84"/>
      <c r="HW57" s="84"/>
      <c r="HX57" s="84"/>
      <c r="HY57" s="84"/>
      <c r="HZ57" s="84"/>
      <c r="IA57" s="84"/>
      <c r="IB57" s="84"/>
      <c r="IC57" s="84"/>
      <c r="ID57" s="84"/>
      <c r="IE57" s="84"/>
      <c r="IF57" s="84"/>
      <c r="IG57" s="84"/>
      <c r="IH57" s="84"/>
      <c r="II57" s="84"/>
      <c r="IJ57" s="84"/>
      <c r="IK57" s="84"/>
      <c r="IL57" s="84"/>
      <c r="IM57" s="84"/>
    </row>
    <row r="58" spans="1:247" s="85" customFormat="1" ht="16.5" hidden="1" customHeight="1" x14ac:dyDescent="0.35">
      <c r="A58" s="71"/>
      <c r="B58" s="218" t="str">
        <f>IF(G58&lt;&gt;"","Faltas não Remuneradas","")</f>
        <v/>
      </c>
      <c r="C58" s="214"/>
      <c r="D58" s="214"/>
      <c r="E58" s="214"/>
      <c r="F58" s="219" t="str">
        <f>IF(G58&lt;&gt;"",F36+IF(F37="",0,F37),"")</f>
        <v/>
      </c>
      <c r="G58" s="223" t="str">
        <f>IF(I3&gt;0,I3,"")</f>
        <v/>
      </c>
      <c r="H58" s="221"/>
      <c r="I58" s="222" t="str">
        <f>IF(F58&lt;&gt;"",IF(I3&gt;0,I3*F58,""),"")</f>
        <v/>
      </c>
      <c r="J58" s="75"/>
      <c r="K58" s="172"/>
      <c r="L58" s="75"/>
      <c r="M58" s="203">
        <v>6052</v>
      </c>
      <c r="N58" s="204" t="str">
        <f t="shared" si="1"/>
        <v/>
      </c>
      <c r="O58" s="204" t="str">
        <f t="shared" si="2"/>
        <v/>
      </c>
      <c r="P58" s="204" t="str">
        <f t="shared" si="3"/>
        <v/>
      </c>
      <c r="Q58" s="204" t="str">
        <f t="shared" si="4"/>
        <v/>
      </c>
      <c r="R58" s="204" t="str">
        <f t="shared" si="5"/>
        <v/>
      </c>
      <c r="S58" s="207" t="str">
        <f t="shared" si="6"/>
        <v/>
      </c>
      <c r="T58" s="75"/>
      <c r="U58" s="205">
        <v>0.33300000000000002</v>
      </c>
      <c r="V58" s="205">
        <v>0.32800000000000001</v>
      </c>
      <c r="W58" s="205">
        <v>0.32200000000000001</v>
      </c>
      <c r="X58" s="205">
        <v>0.29799999999999999</v>
      </c>
      <c r="Y58" s="205">
        <v>0.29199999999999998</v>
      </c>
      <c r="Z58" s="205">
        <v>0.28399999999999997</v>
      </c>
      <c r="AA58" s="75"/>
      <c r="AB58" s="206"/>
      <c r="AC58" s="206"/>
      <c r="AD58" s="206"/>
      <c r="AE58" s="206"/>
      <c r="AF58" s="206"/>
      <c r="AG58" s="206"/>
      <c r="AH58" s="75"/>
      <c r="AI58" s="75"/>
      <c r="AJ58" s="75"/>
      <c r="AK58" s="75"/>
      <c r="AL58" s="75"/>
      <c r="AM58" s="75"/>
      <c r="AN58" s="75"/>
      <c r="AO58" s="75"/>
      <c r="AP58" s="75"/>
      <c r="AQ58" s="75"/>
      <c r="AR58" s="75"/>
      <c r="AS58" s="75"/>
      <c r="AT58" s="75"/>
      <c r="AU58" s="75"/>
      <c r="AV58" s="75"/>
      <c r="AW58" s="75"/>
      <c r="AX58" s="75"/>
      <c r="AY58" s="75"/>
      <c r="AZ58" s="75"/>
      <c r="BA58" s="75"/>
      <c r="BB58" s="82"/>
      <c r="BC58" s="83"/>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row>
    <row r="59" spans="1:247" s="85" customFormat="1" ht="16.5" hidden="1" customHeight="1" thickBot="1" x14ac:dyDescent="0.4">
      <c r="A59" s="71"/>
      <c r="B59" s="224" t="str">
        <f>IF(I25&gt;0,"Outras Deduções","")</f>
        <v/>
      </c>
      <c r="C59" s="225"/>
      <c r="D59" s="217"/>
      <c r="E59" s="217"/>
      <c r="F59" s="226" t="str">
        <f>IF(I25&gt;0,I25,"")</f>
        <v/>
      </c>
      <c r="G59" s="227" t="str">
        <f>IF(I25&gt;0,1,"")</f>
        <v/>
      </c>
      <c r="H59" s="228"/>
      <c r="I59" s="229" t="str">
        <f>IF(I25&gt;0,R7,"")</f>
        <v/>
      </c>
      <c r="J59" s="75"/>
      <c r="K59" s="172"/>
      <c r="L59" s="75"/>
      <c r="M59" s="203">
        <v>6924</v>
      </c>
      <c r="N59" s="204" t="str">
        <f t="shared" si="1"/>
        <v/>
      </c>
      <c r="O59" s="204" t="str">
        <f t="shared" si="2"/>
        <v/>
      </c>
      <c r="P59" s="204" t="str">
        <f t="shared" si="3"/>
        <v/>
      </c>
      <c r="Q59" s="204" t="str">
        <f t="shared" si="4"/>
        <v/>
      </c>
      <c r="R59" s="204" t="str">
        <f t="shared" si="5"/>
        <v/>
      </c>
      <c r="S59" s="207" t="str">
        <f t="shared" si="6"/>
        <v/>
      </c>
      <c r="T59" s="75"/>
      <c r="U59" s="205">
        <v>0.35299999999999998</v>
      </c>
      <c r="V59" s="205">
        <v>0.34899999999999998</v>
      </c>
      <c r="W59" s="205">
        <v>0.34100000000000003</v>
      </c>
      <c r="X59" s="205">
        <v>0.32200000000000001</v>
      </c>
      <c r="Y59" s="205">
        <v>0.318</v>
      </c>
      <c r="Z59" s="205">
        <v>0.315</v>
      </c>
      <c r="AA59" s="75"/>
      <c r="AB59" s="206"/>
      <c r="AC59" s="206"/>
      <c r="AD59" s="206"/>
      <c r="AE59" s="206"/>
      <c r="AF59" s="206"/>
      <c r="AG59" s="206"/>
      <c r="AH59" s="75"/>
      <c r="AI59" s="75"/>
      <c r="AJ59" s="75"/>
      <c r="AK59" s="75"/>
      <c r="AL59" s="75"/>
      <c r="AM59" s="75"/>
      <c r="AN59" s="75"/>
      <c r="AO59" s="75"/>
      <c r="AP59" s="75"/>
      <c r="AQ59" s="75"/>
      <c r="AR59" s="75"/>
      <c r="AS59" s="75"/>
      <c r="AT59" s="75"/>
      <c r="AU59" s="75"/>
      <c r="AV59" s="75"/>
      <c r="AW59" s="75"/>
      <c r="AX59" s="75"/>
      <c r="AY59" s="75"/>
      <c r="AZ59" s="75"/>
      <c r="BA59" s="75"/>
      <c r="BB59" s="230"/>
      <c r="BC59" s="83"/>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row>
    <row r="60" spans="1:247" s="85" customFormat="1" ht="16.5" hidden="1" customHeight="1" thickBot="1" x14ac:dyDescent="0.4">
      <c r="A60" s="71"/>
      <c r="B60" s="231"/>
      <c r="C60" s="231"/>
      <c r="D60" s="231"/>
      <c r="E60" s="231"/>
      <c r="F60" s="232"/>
      <c r="G60" s="233"/>
      <c r="H60" s="231"/>
      <c r="I60" s="234"/>
      <c r="J60" s="75"/>
      <c r="K60" s="172"/>
      <c r="L60" s="75"/>
      <c r="M60" s="203">
        <v>8171</v>
      </c>
      <c r="N60" s="204" t="str">
        <f t="shared" si="1"/>
        <v/>
      </c>
      <c r="O60" s="204" t="str">
        <f t="shared" si="2"/>
        <v/>
      </c>
      <c r="P60" s="204" t="str">
        <f t="shared" si="3"/>
        <v/>
      </c>
      <c r="Q60" s="204" t="str">
        <f t="shared" si="4"/>
        <v/>
      </c>
      <c r="R60" s="204" t="str">
        <f t="shared" si="5"/>
        <v/>
      </c>
      <c r="S60" s="207" t="str">
        <f t="shared" si="6"/>
        <v/>
      </c>
      <c r="T60" s="75"/>
      <c r="U60" s="205">
        <v>0.36299999999999999</v>
      </c>
      <c r="V60" s="205">
        <v>0.35899999999999999</v>
      </c>
      <c r="W60" s="205">
        <v>0.35499999999999998</v>
      </c>
      <c r="X60" s="205">
        <v>0.34200000000000003</v>
      </c>
      <c r="Y60" s="205">
        <v>0.32800000000000001</v>
      </c>
      <c r="Z60" s="205">
        <v>0.32400000000000001</v>
      </c>
      <c r="AA60" s="75"/>
      <c r="AB60" s="206"/>
      <c r="AC60" s="206"/>
      <c r="AD60" s="206"/>
      <c r="AE60" s="206"/>
      <c r="AF60" s="206"/>
      <c r="AG60" s="206"/>
      <c r="AH60" s="75"/>
      <c r="AI60" s="75"/>
      <c r="AJ60" s="75"/>
      <c r="AK60" s="75"/>
      <c r="AL60" s="75"/>
      <c r="AM60" s="75"/>
      <c r="AN60" s="75"/>
      <c r="AO60" s="75"/>
      <c r="AP60" s="75"/>
      <c r="AQ60" s="75"/>
      <c r="AR60" s="75"/>
      <c r="AS60" s="75"/>
      <c r="AT60" s="75"/>
      <c r="AU60" s="75"/>
      <c r="AV60" s="75"/>
      <c r="AW60" s="75"/>
      <c r="AX60" s="75"/>
      <c r="AY60" s="75"/>
      <c r="AZ60" s="75"/>
      <c r="BA60" s="75"/>
      <c r="BB60" s="82"/>
      <c r="BC60" s="83"/>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c r="IL60" s="84"/>
      <c r="IM60" s="84"/>
    </row>
    <row r="61" spans="1:247" s="85" customFormat="1" ht="16.5" customHeight="1" thickBot="1" x14ac:dyDescent="0.4">
      <c r="A61" s="71"/>
      <c r="B61" s="388" t="s">
        <v>170</v>
      </c>
      <c r="C61" s="389"/>
      <c r="D61" s="389"/>
      <c r="E61" s="389"/>
      <c r="F61" s="390"/>
      <c r="G61" s="317" t="s">
        <v>70</v>
      </c>
      <c r="H61" s="318" t="s">
        <v>71</v>
      </c>
      <c r="I61" s="318" t="s">
        <v>72</v>
      </c>
      <c r="J61" s="75"/>
      <c r="K61" s="172"/>
      <c r="L61" s="75"/>
      <c r="M61" s="203">
        <v>9840</v>
      </c>
      <c r="N61" s="204" t="str">
        <f t="shared" si="1"/>
        <v/>
      </c>
      <c r="O61" s="204" t="str">
        <f t="shared" si="2"/>
        <v/>
      </c>
      <c r="P61" s="204" t="str">
        <f t="shared" si="3"/>
        <v/>
      </c>
      <c r="Q61" s="204" t="str">
        <f t="shared" si="4"/>
        <v/>
      </c>
      <c r="R61" s="204" t="str">
        <f t="shared" si="5"/>
        <v/>
      </c>
      <c r="S61" s="207" t="str">
        <f t="shared" si="6"/>
        <v/>
      </c>
      <c r="T61" s="75"/>
      <c r="U61" s="205">
        <v>0.38200000000000001</v>
      </c>
      <c r="V61" s="205">
        <v>0.378</v>
      </c>
      <c r="W61" s="205">
        <v>0.374</v>
      </c>
      <c r="X61" s="205">
        <v>0.36199999999999999</v>
      </c>
      <c r="Y61" s="205">
        <v>0.35799999999999998</v>
      </c>
      <c r="Z61" s="205">
        <v>0.34399999999999997</v>
      </c>
      <c r="AA61" s="75"/>
      <c r="AB61" s="206"/>
      <c r="AC61" s="206"/>
      <c r="AD61" s="206"/>
      <c r="AE61" s="206"/>
      <c r="AF61" s="206"/>
      <c r="AG61" s="206"/>
      <c r="AH61" s="75"/>
      <c r="AI61" s="75"/>
      <c r="AJ61" s="75"/>
      <c r="AK61" s="75"/>
      <c r="AL61" s="75"/>
      <c r="AM61" s="75"/>
      <c r="AN61" s="75"/>
      <c r="AO61" s="75"/>
      <c r="AP61" s="75"/>
      <c r="AQ61" s="75"/>
      <c r="AR61" s="75"/>
      <c r="AS61" s="75"/>
      <c r="AT61" s="75"/>
      <c r="AU61" s="75"/>
      <c r="AV61" s="75"/>
      <c r="AW61" s="75"/>
      <c r="AX61" s="75"/>
      <c r="AY61" s="75"/>
      <c r="AZ61" s="75"/>
      <c r="BA61" s="75"/>
      <c r="BB61" s="82"/>
      <c r="BC61" s="83"/>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84"/>
      <c r="HX61" s="84"/>
      <c r="HY61" s="84"/>
      <c r="HZ61" s="84"/>
      <c r="IA61" s="84"/>
      <c r="IB61" s="84"/>
      <c r="IC61" s="84"/>
      <c r="ID61" s="84"/>
      <c r="IE61" s="84"/>
      <c r="IF61" s="84"/>
      <c r="IG61" s="84"/>
      <c r="IH61" s="84"/>
      <c r="II61" s="84"/>
      <c r="IJ61" s="84"/>
      <c r="IK61" s="84"/>
      <c r="IL61" s="84"/>
      <c r="IM61" s="84"/>
    </row>
    <row r="62" spans="1:247" s="85" customFormat="1" ht="22.5" customHeight="1" thickBot="1" x14ac:dyDescent="0.4">
      <c r="A62" s="71"/>
      <c r="B62" s="329"/>
      <c r="C62" s="330"/>
      <c r="D62" s="330"/>
      <c r="E62" s="330"/>
      <c r="F62" s="331" t="s">
        <v>171</v>
      </c>
      <c r="G62" s="347">
        <f>R13</f>
        <v>23.739999999999995</v>
      </c>
      <c r="H62" s="348">
        <f>SUM(H36:H51)</f>
        <v>1727.6</v>
      </c>
      <c r="I62" s="349">
        <f>SUM(I52:I59)</f>
        <v>410.01</v>
      </c>
      <c r="J62" s="75"/>
      <c r="K62" s="172"/>
      <c r="L62" s="75"/>
      <c r="M62" s="203">
        <v>11612</v>
      </c>
      <c r="N62" s="204" t="str">
        <f t="shared" si="1"/>
        <v/>
      </c>
      <c r="O62" s="204" t="str">
        <f t="shared" si="2"/>
        <v/>
      </c>
      <c r="P62" s="204" t="str">
        <f t="shared" si="3"/>
        <v/>
      </c>
      <c r="Q62" s="204" t="str">
        <f t="shared" si="4"/>
        <v/>
      </c>
      <c r="R62" s="204" t="str">
        <f t="shared" si="5"/>
        <v/>
      </c>
      <c r="S62" s="207" t="str">
        <f t="shared" si="6"/>
        <v/>
      </c>
      <c r="T62" s="75"/>
      <c r="U62" s="205">
        <v>0.39200000000000002</v>
      </c>
      <c r="V62" s="205">
        <v>0.38800000000000001</v>
      </c>
      <c r="W62" s="205">
        <v>0.38400000000000001</v>
      </c>
      <c r="X62" s="205">
        <v>0.375</v>
      </c>
      <c r="Y62" s="205">
        <v>0.36699999999999999</v>
      </c>
      <c r="Z62" s="205">
        <v>0.35399999999999998</v>
      </c>
      <c r="AA62" s="75"/>
      <c r="AB62" s="206"/>
      <c r="AC62" s="206"/>
      <c r="AD62" s="206"/>
      <c r="AE62" s="206"/>
      <c r="AF62" s="206"/>
      <c r="AG62" s="206"/>
      <c r="AH62" s="75"/>
      <c r="AI62" s="75"/>
      <c r="AJ62" s="75"/>
      <c r="AK62" s="75"/>
      <c r="AL62" s="75"/>
      <c r="AM62" s="75"/>
      <c r="AN62" s="75"/>
      <c r="AO62" s="75"/>
      <c r="AP62" s="75"/>
      <c r="AQ62" s="75"/>
      <c r="AR62" s="75"/>
      <c r="AS62" s="75"/>
      <c r="AT62" s="75"/>
      <c r="AU62" s="75"/>
      <c r="AV62" s="75"/>
      <c r="AW62" s="75"/>
      <c r="AX62" s="75"/>
      <c r="AY62" s="75"/>
      <c r="AZ62" s="75"/>
      <c r="BA62" s="75"/>
      <c r="BB62" s="82"/>
      <c r="BC62" s="83"/>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row>
    <row r="63" spans="1:247" s="85" customFormat="1" ht="16.5" customHeight="1" x14ac:dyDescent="0.35">
      <c r="A63" s="71"/>
      <c r="B63" s="332" t="s">
        <v>172</v>
      </c>
      <c r="C63" s="333">
        <f>Q11</f>
        <v>0.14799999999999999</v>
      </c>
      <c r="D63" s="334"/>
      <c r="E63" s="335" t="s">
        <v>173</v>
      </c>
      <c r="F63" s="336">
        <f>IF(P3&gt;0,P3,"")</f>
        <v>9.0865384615384617</v>
      </c>
      <c r="G63" s="320" t="s">
        <v>88</v>
      </c>
      <c r="H63" s="321"/>
      <c r="I63" s="322">
        <f>SUM(H36:H51)</f>
        <v>1727.6</v>
      </c>
      <c r="J63" s="75"/>
      <c r="K63" s="172"/>
      <c r="L63" s="75"/>
      <c r="M63" s="203">
        <v>19404</v>
      </c>
      <c r="N63" s="204" t="str">
        <f t="shared" si="1"/>
        <v/>
      </c>
      <c r="O63" s="204" t="str">
        <f t="shared" si="2"/>
        <v/>
      </c>
      <c r="P63" s="204" t="str">
        <f t="shared" si="3"/>
        <v/>
      </c>
      <c r="Q63" s="204" t="str">
        <f t="shared" si="4"/>
        <v/>
      </c>
      <c r="R63" s="204" t="str">
        <f t="shared" si="5"/>
        <v/>
      </c>
      <c r="S63" s="207" t="str">
        <f t="shared" si="6"/>
        <v/>
      </c>
      <c r="T63" s="75"/>
      <c r="U63" s="205">
        <v>0.40200000000000002</v>
      </c>
      <c r="V63" s="205">
        <v>0.39800000000000002</v>
      </c>
      <c r="W63" s="205">
        <v>0.39400000000000002</v>
      </c>
      <c r="X63" s="205">
        <v>0.38500000000000001</v>
      </c>
      <c r="Y63" s="205">
        <v>0.38100000000000001</v>
      </c>
      <c r="Z63" s="205">
        <v>0.36399999999999999</v>
      </c>
      <c r="AA63" s="75"/>
      <c r="AB63" s="206"/>
      <c r="AC63" s="206"/>
      <c r="AD63" s="206"/>
      <c r="AE63" s="206"/>
      <c r="AF63" s="206"/>
      <c r="AG63" s="206"/>
      <c r="AH63" s="75"/>
      <c r="AI63" s="75"/>
      <c r="AJ63" s="75"/>
      <c r="AK63" s="75"/>
      <c r="AL63" s="75"/>
      <c r="AM63" s="75"/>
      <c r="AN63" s="75"/>
      <c r="AO63" s="75"/>
      <c r="AP63" s="75"/>
      <c r="AQ63" s="75"/>
      <c r="AR63" s="75"/>
      <c r="AS63" s="75"/>
      <c r="AT63" s="75"/>
      <c r="AU63" s="75"/>
      <c r="AV63" s="75"/>
      <c r="AW63" s="75"/>
      <c r="AX63" s="75"/>
      <c r="AY63" s="75"/>
      <c r="AZ63" s="75"/>
      <c r="BA63" s="75"/>
      <c r="BB63" s="82"/>
      <c r="BC63" s="83"/>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row>
    <row r="64" spans="1:247" s="85" customFormat="1" ht="16.5" customHeight="1" x14ac:dyDescent="0.35">
      <c r="A64" s="71"/>
      <c r="B64" s="337" t="str">
        <f>IF(A2=1,"Privado - Não Casado","")&amp;IF(A2=2,"Privado - Casado 1 Titular","")&amp;IF(A2=3,"Privado - Casado 2 Titulares","")&amp;IF(A2=4,"Privado - Não Casado Deficiente","")&amp;IF(A2=5,"Privado - Casado 1 Titular Deficiente","")&amp;IF(A2=6,"Privado - Casado 2 Titulares Deficiente","")&amp;IF(A2=7,"Função Pública - Não Casado","")&amp;IF(A2=8,"Função Pública - Casado 1 Titular","")&amp;IF(A2=9,"Função Pública - Casado 2 Titulares","")&amp;IF(A2=10,"Função Pública - Não Casado Deficiente","")&amp;IF(A2=11,"Função Pública - Casado 1 Titular Deficiente","")&amp;IF(A2=12,"Função Pública - Casado 2 Titulares Deficiente","")&amp;", "&amp;IF(I2="",0,I2)&amp;" Dep/s"</f>
        <v>Privado - Não Casado, 1 Dep/s</v>
      </c>
      <c r="C64" s="338"/>
      <c r="D64" s="339"/>
      <c r="E64" s="339"/>
      <c r="F64" s="340"/>
      <c r="G64" s="323" t="s">
        <v>174</v>
      </c>
      <c r="H64" s="324"/>
      <c r="I64" s="325">
        <f>N17+IF(A2&gt;6,L8,0)+IF(A21=TRUE,IF(A2&lt;7,L16,0),0)</f>
        <v>1590.96</v>
      </c>
      <c r="J64" s="75"/>
      <c r="K64" s="172"/>
      <c r="L64" s="75"/>
      <c r="M64" s="203">
        <v>20811</v>
      </c>
      <c r="N64" s="204" t="str">
        <f t="shared" si="1"/>
        <v/>
      </c>
      <c r="O64" s="204" t="str">
        <f t="shared" si="2"/>
        <v/>
      </c>
      <c r="P64" s="204" t="str">
        <f t="shared" si="3"/>
        <v/>
      </c>
      <c r="Q64" s="204" t="str">
        <f t="shared" si="4"/>
        <v/>
      </c>
      <c r="R64" s="204" t="str">
        <f t="shared" si="5"/>
        <v/>
      </c>
      <c r="S64" s="207" t="str">
        <f t="shared" si="6"/>
        <v/>
      </c>
      <c r="T64" s="75"/>
      <c r="U64" s="205">
        <v>0.41199999999999998</v>
      </c>
      <c r="V64" s="205">
        <v>0.40799999999999997</v>
      </c>
      <c r="W64" s="205">
        <v>0.40400000000000003</v>
      </c>
      <c r="X64" s="205">
        <v>0.39500000000000002</v>
      </c>
      <c r="Y64" s="205">
        <v>0.39100000000000001</v>
      </c>
      <c r="Z64" s="205">
        <v>0.373</v>
      </c>
      <c r="AA64" s="75"/>
      <c r="AB64" s="206"/>
      <c r="AC64" s="206"/>
      <c r="AD64" s="206"/>
      <c r="AE64" s="206"/>
      <c r="AF64" s="206"/>
      <c r="AG64" s="206"/>
      <c r="AH64" s="75"/>
      <c r="AI64" s="75"/>
      <c r="AJ64" s="75"/>
      <c r="AK64" s="75"/>
      <c r="AL64" s="75"/>
      <c r="AM64" s="75"/>
      <c r="AN64" s="75"/>
      <c r="AO64" s="75"/>
      <c r="AP64" s="75"/>
      <c r="AQ64" s="75"/>
      <c r="AR64" s="75"/>
      <c r="AS64" s="75"/>
      <c r="AT64" s="75"/>
      <c r="AU64" s="75"/>
      <c r="AV64" s="75"/>
      <c r="AW64" s="75"/>
      <c r="AX64" s="75"/>
      <c r="AY64" s="75"/>
      <c r="AZ64" s="75"/>
      <c r="BA64" s="75"/>
      <c r="BB64" s="82"/>
      <c r="BC64" s="83"/>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c r="HB64" s="84"/>
      <c r="HC64" s="84"/>
      <c r="HD64" s="84"/>
      <c r="HE64" s="84"/>
      <c r="HF64" s="84"/>
      <c r="HG64" s="84"/>
      <c r="HH64" s="84"/>
      <c r="HI64" s="84"/>
      <c r="HJ64" s="84"/>
      <c r="HK64" s="84"/>
      <c r="HL64" s="84"/>
      <c r="HM64" s="84"/>
      <c r="HN64" s="84"/>
      <c r="HO64" s="84"/>
      <c r="HP64" s="84"/>
      <c r="HQ64" s="84"/>
      <c r="HR64" s="84"/>
      <c r="HS64" s="84"/>
      <c r="HT64" s="84"/>
      <c r="HU64" s="84"/>
      <c r="HV64" s="84"/>
      <c r="HW64" s="84"/>
      <c r="HX64" s="84"/>
      <c r="HY64" s="84"/>
      <c r="HZ64" s="84"/>
      <c r="IA64" s="84"/>
      <c r="IB64" s="84"/>
      <c r="IC64" s="84"/>
      <c r="ID64" s="84"/>
      <c r="IE64" s="84"/>
      <c r="IF64" s="84"/>
      <c r="IG64" s="84"/>
      <c r="IH64" s="84"/>
      <c r="II64" s="84"/>
      <c r="IJ64" s="84"/>
      <c r="IK64" s="84"/>
      <c r="IL64" s="84"/>
      <c r="IM64" s="84"/>
    </row>
    <row r="65" spans="1:247" s="85" customFormat="1" ht="16.5" customHeight="1" x14ac:dyDescent="0.35">
      <c r="A65" s="71"/>
      <c r="B65" s="337" t="str">
        <f>"Cálculo com base nas "&amp;W1&amp;" Horas Semanais"</f>
        <v>Cálculo com base nas 40 Horas Semanais</v>
      </c>
      <c r="C65" s="341"/>
      <c r="D65" s="341"/>
      <c r="E65" s="341"/>
      <c r="F65" s="342"/>
      <c r="G65" s="323" t="s">
        <v>175</v>
      </c>
      <c r="H65" s="324"/>
      <c r="I65" s="325">
        <f>IF(H50="",0,H50)</f>
        <v>0</v>
      </c>
      <c r="J65" s="75"/>
      <c r="K65" s="172"/>
      <c r="L65" s="75"/>
      <c r="M65" s="203">
        <v>23413</v>
      </c>
      <c r="N65" s="204" t="str">
        <f t="shared" si="1"/>
        <v/>
      </c>
      <c r="O65" s="204" t="str">
        <f t="shared" si="2"/>
        <v/>
      </c>
      <c r="P65" s="204" t="str">
        <f t="shared" si="3"/>
        <v/>
      </c>
      <c r="Q65" s="204" t="str">
        <f t="shared" si="4"/>
        <v/>
      </c>
      <c r="R65" s="204" t="str">
        <f t="shared" si="5"/>
        <v/>
      </c>
      <c r="S65" s="207" t="str">
        <f t="shared" si="6"/>
        <v/>
      </c>
      <c r="T65" s="75"/>
      <c r="U65" s="205">
        <v>0.41899999999999998</v>
      </c>
      <c r="V65" s="205">
        <v>0.41699999999999998</v>
      </c>
      <c r="W65" s="205">
        <v>0.41399999999999998</v>
      </c>
      <c r="X65" s="205">
        <v>0.40500000000000003</v>
      </c>
      <c r="Y65" s="205">
        <v>0.40100000000000002</v>
      </c>
      <c r="Z65" s="205">
        <v>0.38500000000000001</v>
      </c>
      <c r="AA65" s="75"/>
      <c r="AB65" s="206"/>
      <c r="AC65" s="206"/>
      <c r="AD65" s="206"/>
      <c r="AE65" s="206"/>
      <c r="AF65" s="206"/>
      <c r="AG65" s="206"/>
      <c r="AH65" s="75"/>
      <c r="AI65" s="75"/>
      <c r="AJ65" s="75"/>
      <c r="AK65" s="75"/>
      <c r="AL65" s="75"/>
      <c r="AM65" s="75"/>
      <c r="AN65" s="75"/>
      <c r="AO65" s="75"/>
      <c r="AP65" s="75"/>
      <c r="AQ65" s="75"/>
      <c r="AR65" s="75"/>
      <c r="AS65" s="75"/>
      <c r="AT65" s="75"/>
      <c r="AU65" s="75"/>
      <c r="AV65" s="75"/>
      <c r="AW65" s="75"/>
      <c r="AX65" s="75"/>
      <c r="AY65" s="75"/>
      <c r="AZ65" s="75"/>
      <c r="BA65" s="75"/>
      <c r="BB65" s="82"/>
      <c r="BC65" s="83"/>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HX65" s="84"/>
      <c r="HY65" s="84"/>
      <c r="HZ65" s="84"/>
      <c r="IA65" s="84"/>
      <c r="IB65" s="84"/>
      <c r="IC65" s="84"/>
      <c r="ID65" s="84"/>
      <c r="IE65" s="84"/>
      <c r="IF65" s="84"/>
      <c r="IG65" s="84"/>
      <c r="IH65" s="84"/>
      <c r="II65" s="84"/>
      <c r="IJ65" s="84"/>
      <c r="IK65" s="84"/>
      <c r="IL65" s="84"/>
      <c r="IM65" s="84"/>
    </row>
    <row r="66" spans="1:247" s="85" customFormat="1" x14ac:dyDescent="0.35">
      <c r="A66" s="71"/>
      <c r="B66" s="337" t="str">
        <f>IF(A15=1,Y1,"")&amp;IF(A15=2,Y2,"")&amp;IF(A15=3,Y3,"")</f>
        <v>Continente 2023</v>
      </c>
      <c r="C66" s="338"/>
      <c r="D66" s="339"/>
      <c r="E66" s="339"/>
      <c r="F66" s="340"/>
      <c r="G66" s="323" t="s">
        <v>176</v>
      </c>
      <c r="H66" s="324"/>
      <c r="I66" s="325">
        <f>O12+O14+O16</f>
        <v>136.63999999999999</v>
      </c>
      <c r="J66" s="75"/>
      <c r="K66" s="172"/>
      <c r="L66" s="75"/>
      <c r="M66" s="203">
        <v>26014</v>
      </c>
      <c r="N66" s="204" t="str">
        <f>IF($R$11&lt;=M66,IF($R$11&gt;=M65+0.01,U66,""),"")</f>
        <v/>
      </c>
      <c r="O66" s="204" t="str">
        <f>IF($R$11&lt;=M66,IF($R$11&gt;=M65+0.01,V66,""),"")</f>
        <v/>
      </c>
      <c r="P66" s="204" t="str">
        <f>IF($R$11&lt;=M66,IF($R$11&gt;=M65+0.01,W66,""),"")</f>
        <v/>
      </c>
      <c r="Q66" s="204" t="str">
        <f>IF($R$11&lt;=M66,IF($R$11&gt;=M65+0.01,X66,""),"")</f>
        <v/>
      </c>
      <c r="R66" s="204" t="str">
        <f>IF($R$11&lt;=M66,IF($R$11&gt;=M65+0.01,Y66,""),"")</f>
        <v/>
      </c>
      <c r="S66" s="207" t="str">
        <f>IF($R$11&lt;=M66,IF($R$11&gt;=M65+0.01,Z66,""),"")</f>
        <v/>
      </c>
      <c r="T66" s="75"/>
      <c r="U66" s="205">
        <v>0.42899999999999999</v>
      </c>
      <c r="V66" s="205">
        <v>0.42699999999999999</v>
      </c>
      <c r="W66" s="205">
        <v>0.42299999999999999</v>
      </c>
      <c r="X66" s="205">
        <v>0.41399999999999998</v>
      </c>
      <c r="Y66" s="205">
        <v>0.41099999999999998</v>
      </c>
      <c r="Z66" s="205">
        <v>0.39700000000000002</v>
      </c>
      <c r="AA66" s="75"/>
      <c r="AB66" s="206"/>
      <c r="AC66" s="206"/>
      <c r="AD66" s="206"/>
      <c r="AE66" s="206"/>
      <c r="AF66" s="206"/>
      <c r="AG66" s="206"/>
      <c r="AH66" s="75"/>
      <c r="AI66" s="75"/>
      <c r="AJ66" s="75"/>
      <c r="AK66" s="75"/>
      <c r="AL66" s="75"/>
      <c r="AM66" s="75"/>
      <c r="AN66" s="75"/>
      <c r="AO66" s="75"/>
      <c r="AP66" s="75"/>
      <c r="AQ66" s="75"/>
      <c r="AR66" s="75"/>
      <c r="AS66" s="75"/>
      <c r="AT66" s="75"/>
      <c r="AU66" s="75"/>
      <c r="AV66" s="75"/>
      <c r="AW66" s="75"/>
      <c r="AX66" s="75"/>
      <c r="AY66" s="75"/>
      <c r="AZ66" s="75"/>
      <c r="BA66" s="75"/>
      <c r="BB66" s="82"/>
      <c r="BC66" s="83"/>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row>
    <row r="67" spans="1:247" s="85" customFormat="1" ht="15" thickBot="1" x14ac:dyDescent="0.4">
      <c r="A67" s="71"/>
      <c r="B67" s="337" t="str">
        <f>INDEX(Y7:AC18,A18,1)</f>
        <v>Trabalhadores em geral</v>
      </c>
      <c r="C67" s="339"/>
      <c r="D67" s="343"/>
      <c r="E67" s="339"/>
      <c r="F67" s="340"/>
      <c r="G67" s="326" t="s">
        <v>94</v>
      </c>
      <c r="H67" s="327"/>
      <c r="I67" s="328">
        <f>SUM(I52:I59)</f>
        <v>410.01</v>
      </c>
      <c r="J67" s="75"/>
      <c r="K67" s="172"/>
      <c r="L67" s="75"/>
      <c r="M67" s="203">
        <v>26014</v>
      </c>
      <c r="N67" s="204" t="str">
        <f>IF($R$11&lt;=M67,IF($R$11&gt;=M66+0.01,U67,""),"")</f>
        <v/>
      </c>
      <c r="O67" s="204" t="str">
        <f>IF($R$11&lt;=M67,IF($R$11&gt;=M66+0.01,V67,""),"")</f>
        <v/>
      </c>
      <c r="P67" s="204" t="str">
        <f>IF($R$11&lt;=M67,IF($R$11&gt;=M66+0.01,W67,""),"")</f>
        <v/>
      </c>
      <c r="Q67" s="204" t="str">
        <f>IF($R$11&lt;=M67,IF($R$11&gt;=M66+0.01,X67,""),"")</f>
        <v/>
      </c>
      <c r="R67" s="204" t="str">
        <f>IF($R$11&lt;=M67,IF($R$11&gt;=M66+0.01,Y67,""),"")</f>
        <v/>
      </c>
      <c r="S67" s="207" t="str">
        <f>IF($R$11&lt;=M67,IF($R$11&gt;=M66+0.01,Z67,""),"")</f>
        <v/>
      </c>
      <c r="T67" s="75"/>
      <c r="U67" s="205">
        <v>0.438</v>
      </c>
      <c r="V67" s="205">
        <v>0.436</v>
      </c>
      <c r="W67" s="205">
        <v>0.433</v>
      </c>
      <c r="X67" s="205">
        <v>0.42399999999999999</v>
      </c>
      <c r="Y67" s="205">
        <v>0.42</v>
      </c>
      <c r="Z67" s="205">
        <v>0.40699999999999997</v>
      </c>
      <c r="AA67" s="75"/>
      <c r="AB67" s="206"/>
      <c r="AC67" s="206"/>
      <c r="AD67" s="206"/>
      <c r="AE67" s="206"/>
      <c r="AF67" s="206"/>
      <c r="AG67" s="206"/>
      <c r="AH67" s="75"/>
      <c r="AI67" s="75"/>
      <c r="AJ67" s="75"/>
      <c r="AK67" s="75"/>
      <c r="AL67" s="75"/>
      <c r="AM67" s="75"/>
      <c r="AN67" s="75"/>
      <c r="AO67" s="75"/>
      <c r="AP67" s="75"/>
      <c r="AQ67" s="75"/>
      <c r="AR67" s="75"/>
      <c r="AS67" s="75"/>
      <c r="AT67" s="75"/>
      <c r="AU67" s="75"/>
      <c r="AV67" s="75"/>
      <c r="AW67" s="75"/>
      <c r="AX67" s="75"/>
      <c r="AY67" s="75"/>
      <c r="AZ67" s="75"/>
      <c r="BA67" s="75"/>
      <c r="BB67" s="82"/>
      <c r="BC67" s="83"/>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row>
    <row r="68" spans="1:247" s="85" customFormat="1" ht="25.5" customHeight="1" thickBot="1" x14ac:dyDescent="0.4">
      <c r="A68" s="71"/>
      <c r="B68" s="344"/>
      <c r="C68" s="345"/>
      <c r="D68" s="345"/>
      <c r="E68" s="345"/>
      <c r="F68" s="346"/>
      <c r="G68" s="309" t="s">
        <v>103</v>
      </c>
      <c r="H68" s="310"/>
      <c r="I68" s="311">
        <f>I63-I67</f>
        <v>1317.59</v>
      </c>
      <c r="J68" s="75"/>
      <c r="K68" s="172"/>
      <c r="L68" s="75"/>
      <c r="M68" s="203">
        <v>26014</v>
      </c>
      <c r="N68" s="204" t="str">
        <f>IF($R$11&gt;=M67+0.01,U68,"")</f>
        <v/>
      </c>
      <c r="O68" s="204" t="str">
        <f>IF($R$11&gt;=M67,V68,"")</f>
        <v/>
      </c>
      <c r="P68" s="204" t="str">
        <f>IF($R$11&gt;=M67,W68,"")</f>
        <v/>
      </c>
      <c r="Q68" s="204" t="str">
        <f>IF($R$11&gt;=M67,X68,"")</f>
        <v/>
      </c>
      <c r="R68" s="207" t="str">
        <f>IF($R$11&gt;=M67,Y68,"")</f>
        <v/>
      </c>
      <c r="S68" s="204" t="str">
        <f>IF($R$11&gt;=M67,Z68,"")</f>
        <v/>
      </c>
      <c r="T68" s="75"/>
      <c r="U68" s="205">
        <v>0.438</v>
      </c>
      <c r="V68" s="205">
        <v>0.436</v>
      </c>
      <c r="W68" s="205">
        <v>0.433</v>
      </c>
      <c r="X68" s="205">
        <v>0.42399999999999999</v>
      </c>
      <c r="Y68" s="205">
        <v>0.42</v>
      </c>
      <c r="Z68" s="205">
        <v>0.40699999999999997</v>
      </c>
      <c r="AA68" s="75"/>
      <c r="AB68" s="206"/>
      <c r="AC68" s="206"/>
      <c r="AD68" s="206"/>
      <c r="AE68" s="206"/>
      <c r="AF68" s="206"/>
      <c r="AG68" s="206"/>
      <c r="AH68" s="75"/>
      <c r="AI68" s="75"/>
      <c r="AJ68" s="75"/>
      <c r="AK68" s="75"/>
      <c r="AL68" s="75"/>
      <c r="AM68" s="75"/>
      <c r="AN68" s="75"/>
      <c r="AO68" s="75"/>
      <c r="AP68" s="75"/>
      <c r="AQ68" s="75"/>
      <c r="AR68" s="75"/>
      <c r="AS68" s="75"/>
      <c r="AT68" s="75"/>
      <c r="AU68" s="75"/>
      <c r="AV68" s="75"/>
      <c r="AW68" s="75"/>
      <c r="AX68" s="75"/>
      <c r="AY68" s="75"/>
      <c r="AZ68" s="75"/>
      <c r="BA68" s="75"/>
      <c r="BB68" s="82"/>
      <c r="BC68" s="83"/>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row>
    <row r="69" spans="1:247" ht="16.5" customHeight="1" x14ac:dyDescent="0.35">
      <c r="B69" s="236"/>
      <c r="C69" s="237"/>
      <c r="D69" s="237"/>
      <c r="E69" s="237"/>
      <c r="F69" s="237"/>
      <c r="G69" s="238"/>
      <c r="H69" s="238"/>
      <c r="I69" s="239"/>
      <c r="J69" s="238"/>
      <c r="K69" s="172"/>
      <c r="L69" s="75"/>
      <c r="M69" s="75"/>
      <c r="N69" s="240" t="str">
        <f>IF($A$15=1,IF($A$2=1,IF($I$2=0,SUM(N29:N68),""),""),"")</f>
        <v/>
      </c>
      <c r="O69" s="241">
        <f>IF($A$15=1,IF($A$2=1,IF($I$2=1,SUM(O29:O68),""),""),"")</f>
        <v>0.14799999999999999</v>
      </c>
      <c r="P69" s="241" t="str">
        <f>IF($A$15=1,IF($A$2=1,IF($I$2=2,SUM(P29:P68),""),""),"")</f>
        <v/>
      </c>
      <c r="Q69" s="241" t="str">
        <f>IF($A$15=1,IF($A$2=1,IF($I$2=3,SUM(Q29:Q68),""),""),"")</f>
        <v/>
      </c>
      <c r="R69" s="241" t="str">
        <f>IF($A$15=1,IF($A$2=1,IF($I$2=4,SUM(R29:R68),""),""),"")</f>
        <v/>
      </c>
      <c r="S69" s="242" t="str">
        <f>IF($A$15=1,IF($A$2=1,IF($I$2=5,SUM(S29:S68),""),""),"")</f>
        <v/>
      </c>
      <c r="T69" s="243">
        <f>SUM(N69:S69)</f>
        <v>0.14799999999999999</v>
      </c>
      <c r="U69" s="205"/>
      <c r="V69" s="205"/>
      <c r="W69" s="205"/>
      <c r="X69" s="205"/>
      <c r="Y69" s="205"/>
      <c r="Z69" s="20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82"/>
      <c r="BC69" s="83"/>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row>
    <row r="70" spans="1:247" ht="16.5" customHeight="1" x14ac:dyDescent="0.35">
      <c r="B70" s="236"/>
      <c r="C70" s="237"/>
      <c r="D70" s="237"/>
      <c r="E70" s="237"/>
      <c r="F70" s="237"/>
      <c r="G70" s="238"/>
      <c r="H70" s="238"/>
      <c r="I70" s="239"/>
      <c r="J70" s="238"/>
      <c r="K70" s="172"/>
      <c r="L70" s="75"/>
      <c r="M70" s="75"/>
      <c r="N70" s="75"/>
      <c r="O70" s="75"/>
      <c r="P70" s="75"/>
      <c r="Q70" s="75"/>
      <c r="R70" s="75"/>
      <c r="S70" s="75"/>
      <c r="T70" s="81"/>
      <c r="U70" s="81"/>
      <c r="V70" s="81"/>
      <c r="W70" s="81"/>
      <c r="X70" s="81"/>
      <c r="Y70" s="81"/>
      <c r="Z70" s="81"/>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82"/>
      <c r="BC70" s="83"/>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row>
    <row r="71" spans="1:247" ht="16.5" customHeight="1" x14ac:dyDescent="0.35">
      <c r="B71" s="236"/>
      <c r="C71" s="237"/>
      <c r="D71" s="237"/>
      <c r="E71" s="237"/>
      <c r="F71" s="237"/>
      <c r="G71" s="237"/>
      <c r="H71" s="237"/>
      <c r="I71" s="237"/>
      <c r="J71" s="238"/>
      <c r="K71" s="172"/>
      <c r="L71" s="75"/>
      <c r="M71" s="75"/>
      <c r="N71" s="75"/>
      <c r="O71" s="75"/>
      <c r="P71" s="75"/>
      <c r="Q71" s="75"/>
      <c r="R71" s="75"/>
      <c r="S71" s="75"/>
      <c r="T71" s="81"/>
      <c r="U71" s="81"/>
      <c r="V71" s="81"/>
      <c r="W71" s="81"/>
      <c r="X71" s="81"/>
      <c r="Y71" s="81"/>
      <c r="Z71" s="81"/>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82"/>
      <c r="BC71" s="83"/>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row>
    <row r="72" spans="1:247" ht="16.5" customHeight="1" x14ac:dyDescent="0.35">
      <c r="B72" s="245"/>
      <c r="C72" s="237"/>
      <c r="D72" s="237"/>
      <c r="E72" s="237"/>
      <c r="F72" s="237"/>
      <c r="G72" s="237"/>
      <c r="H72" s="237"/>
      <c r="I72" s="237"/>
      <c r="J72" s="238"/>
      <c r="K72" s="172"/>
      <c r="L72" s="75"/>
      <c r="M72" s="75"/>
      <c r="N72" s="75"/>
      <c r="O72" s="75"/>
      <c r="P72" s="75"/>
      <c r="Q72" s="75"/>
      <c r="R72" s="75"/>
      <c r="S72" s="75"/>
      <c r="T72" s="81"/>
      <c r="U72" s="81"/>
      <c r="V72" s="81"/>
      <c r="W72" s="81"/>
      <c r="X72" s="81"/>
      <c r="Y72" s="81"/>
      <c r="Z72" s="81"/>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82"/>
      <c r="BC72" s="83"/>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row>
    <row r="73" spans="1:247" ht="16.5" customHeight="1" x14ac:dyDescent="0.35">
      <c r="B73" s="237"/>
      <c r="C73" s="237"/>
      <c r="D73" s="237"/>
      <c r="E73" s="237"/>
      <c r="F73" s="237"/>
      <c r="G73" s="237"/>
      <c r="H73" s="237"/>
      <c r="I73" s="237"/>
      <c r="J73" s="238"/>
      <c r="K73" s="172"/>
      <c r="L73" s="75"/>
      <c r="M73" s="192" t="s">
        <v>254</v>
      </c>
      <c r="N73" s="193"/>
      <c r="O73" s="192" t="s">
        <v>255</v>
      </c>
      <c r="P73" s="193"/>
      <c r="Q73" s="193"/>
      <c r="R73" s="193"/>
      <c r="S73" s="75"/>
      <c r="T73" s="81"/>
      <c r="U73" s="194" t="str">
        <f>O73</f>
        <v>Tabelas de IRS de retenção na fonte referente a 2023 no Continente</v>
      </c>
      <c r="V73" s="81"/>
      <c r="W73" s="81"/>
      <c r="X73" s="81"/>
      <c r="Y73" s="81"/>
      <c r="Z73" s="81"/>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82"/>
      <c r="BC73" s="83"/>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row>
    <row r="74" spans="1:247" ht="16.5" customHeight="1" x14ac:dyDescent="0.35">
      <c r="B74" s="237"/>
      <c r="C74" s="237"/>
      <c r="D74" s="237"/>
      <c r="E74" s="237"/>
      <c r="F74" s="237"/>
      <c r="G74" s="237"/>
      <c r="H74" s="237"/>
      <c r="I74" s="237"/>
      <c r="J74" s="238"/>
      <c r="K74" s="172"/>
      <c r="L74" s="75"/>
      <c r="M74" s="75"/>
      <c r="N74" s="193"/>
      <c r="O74" s="192" t="s">
        <v>177</v>
      </c>
      <c r="P74" s="75"/>
      <c r="Q74" s="193"/>
      <c r="R74" s="193"/>
      <c r="S74" s="75"/>
      <c r="T74" s="81"/>
      <c r="U74" s="194" t="str">
        <f>O74</f>
        <v>T A B E L A  II - TRABALHO DEPENDENTE</v>
      </c>
      <c r="V74" s="81"/>
      <c r="W74" s="81"/>
      <c r="X74" s="81"/>
      <c r="Y74" s="81"/>
      <c r="Z74" s="81"/>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82"/>
      <c r="BC74" s="83"/>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row>
    <row r="75" spans="1:247" ht="16.5" customHeight="1" x14ac:dyDescent="0.35">
      <c r="B75" s="237"/>
      <c r="C75" s="237"/>
      <c r="D75" s="237"/>
      <c r="E75" s="237"/>
      <c r="F75" s="237"/>
      <c r="G75" s="237"/>
      <c r="H75" s="237"/>
      <c r="I75" s="237"/>
      <c r="J75" s="238"/>
      <c r="K75" s="172"/>
      <c r="L75" s="75"/>
      <c r="M75" s="198"/>
      <c r="N75" s="193"/>
      <c r="O75" s="192" t="s">
        <v>178</v>
      </c>
      <c r="P75" s="75"/>
      <c r="Q75" s="193"/>
      <c r="R75" s="193"/>
      <c r="S75" s="75"/>
      <c r="T75" s="81"/>
      <c r="U75" s="194" t="str">
        <f>O75</f>
        <v>CASADO UNICO TITULAR</v>
      </c>
      <c r="V75" s="81"/>
      <c r="W75" s="81"/>
      <c r="X75" s="81"/>
      <c r="Y75" s="81"/>
      <c r="Z75" s="81"/>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82"/>
      <c r="BC75" s="83"/>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row>
    <row r="76" spans="1:247" ht="16.5" customHeight="1" x14ac:dyDescent="0.35">
      <c r="B76" s="237"/>
      <c r="C76" s="237"/>
      <c r="D76" s="237"/>
      <c r="E76" s="237"/>
      <c r="F76" s="237"/>
      <c r="G76" s="237"/>
      <c r="H76" s="237"/>
      <c r="I76" s="237"/>
      <c r="J76" s="238"/>
      <c r="K76" s="172"/>
      <c r="L76" s="75"/>
      <c r="M76" s="200" t="s">
        <v>154</v>
      </c>
      <c r="N76" s="201" t="s">
        <v>155</v>
      </c>
      <c r="O76" s="201" t="s">
        <v>156</v>
      </c>
      <c r="P76" s="201" t="s">
        <v>157</v>
      </c>
      <c r="Q76" s="201" t="s">
        <v>158</v>
      </c>
      <c r="R76" s="201" t="s">
        <v>159</v>
      </c>
      <c r="S76" s="201" t="s">
        <v>160</v>
      </c>
      <c r="T76" s="81"/>
      <c r="U76" s="202" t="str">
        <f t="shared" ref="U76:Z76" si="7">N76</f>
        <v>0 dep</v>
      </c>
      <c r="V76" s="202" t="str">
        <f t="shared" si="7"/>
        <v>1 dep</v>
      </c>
      <c r="W76" s="202" t="str">
        <f t="shared" si="7"/>
        <v>2 dep</v>
      </c>
      <c r="X76" s="202" t="str">
        <f t="shared" si="7"/>
        <v>3 dep</v>
      </c>
      <c r="Y76" s="202" t="str">
        <f t="shared" si="7"/>
        <v>4 dep</v>
      </c>
      <c r="Z76" s="202" t="str">
        <f t="shared" si="7"/>
        <v>5 dep. ou +</v>
      </c>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82"/>
      <c r="BC76" s="83"/>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row>
    <row r="77" spans="1:247" ht="16.5" customHeight="1" x14ac:dyDescent="0.35">
      <c r="B77" s="237"/>
      <c r="C77" s="237"/>
      <c r="D77" s="237"/>
      <c r="E77" s="237"/>
      <c r="F77" s="237"/>
      <c r="G77" s="237"/>
      <c r="H77" s="237"/>
      <c r="I77" s="237"/>
      <c r="J77" s="238"/>
      <c r="K77" s="172"/>
      <c r="L77" s="75"/>
      <c r="M77" s="75">
        <v>762</v>
      </c>
      <c r="N77" s="204" t="str">
        <f>IF($R$11&lt;=M77,IF($R$11&gt;=0,0,""),"")</f>
        <v/>
      </c>
      <c r="O77" s="204" t="str">
        <f>IF($R$11&lt;=M77,IF($R$11&gt;=0,0,""),"")</f>
        <v/>
      </c>
      <c r="P77" s="204" t="str">
        <f>IF($R$11&lt;=M77,IF($R$11&gt;=0,0,""),"")</f>
        <v/>
      </c>
      <c r="Q77" s="204" t="str">
        <f>IF($R$11&lt;=M77,IF($R$11&gt;=0,0,""),"")</f>
        <v/>
      </c>
      <c r="R77" s="204" t="str">
        <f>IF($R$11&lt;=M77,IF($R$11&gt;=0,0,""),"")</f>
        <v/>
      </c>
      <c r="S77" s="204" t="str">
        <f>IF($R$11&lt;=M77,IF($R$11&gt;=0,0,""),"")</f>
        <v/>
      </c>
      <c r="T77" s="81"/>
      <c r="U77" s="205">
        <v>0</v>
      </c>
      <c r="V77" s="205">
        <v>0</v>
      </c>
      <c r="W77" s="205">
        <v>0</v>
      </c>
      <c r="X77" s="205">
        <v>0</v>
      </c>
      <c r="Y77" s="205">
        <v>0</v>
      </c>
      <c r="Z77" s="205">
        <v>0</v>
      </c>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82"/>
      <c r="BC77" s="83"/>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row>
    <row r="78" spans="1:247" ht="16.5" customHeight="1" x14ac:dyDescent="0.35">
      <c r="B78" s="237"/>
      <c r="C78" s="237"/>
      <c r="D78" s="237"/>
      <c r="E78" s="237"/>
      <c r="F78" s="237"/>
      <c r="G78" s="237"/>
      <c r="H78" s="237"/>
      <c r="I78" s="237"/>
      <c r="J78" s="238"/>
      <c r="K78" s="172"/>
      <c r="L78" s="75"/>
      <c r="M78" s="75">
        <v>766</v>
      </c>
      <c r="N78" s="204" t="str">
        <f>IF($R$11&lt;=M78,IF($R$11&gt;=M77+0.01,U78,""),"")</f>
        <v/>
      </c>
      <c r="O78" s="204" t="str">
        <f>IF($R$11&lt;=M78,IF($R$11&gt;=M77+0.01,V78,""),"")</f>
        <v/>
      </c>
      <c r="P78" s="204" t="str">
        <f>IF($R$11&lt;=M78,IF($R$11&gt;=M77+0.01,W78,""),"")</f>
        <v/>
      </c>
      <c r="Q78" s="204" t="str">
        <f>IF($R$11&lt;=M78,IF($R$11&gt;=M77+0.01,X78,""),"")</f>
        <v/>
      </c>
      <c r="R78" s="204" t="str">
        <f>IF($R$11&lt;=M78,IF($R$11&gt;=M77+0.01,Y78,""),"")</f>
        <v/>
      </c>
      <c r="S78" s="207" t="str">
        <f>IF($R$11&lt;=M78,IF($R$11&gt;=M77+0.01,Z78,""),"")</f>
        <v/>
      </c>
      <c r="T78" s="81"/>
      <c r="U78" s="205">
        <v>3.2000000000000001E-2</v>
      </c>
      <c r="V78" s="205">
        <v>0</v>
      </c>
      <c r="W78" s="205">
        <v>0</v>
      </c>
      <c r="X78" s="205">
        <v>0</v>
      </c>
      <c r="Y78" s="205">
        <v>0</v>
      </c>
      <c r="Z78" s="205">
        <v>0</v>
      </c>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82"/>
      <c r="BC78" s="83"/>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row>
    <row r="79" spans="1:247" ht="16.5" customHeight="1" x14ac:dyDescent="0.35">
      <c r="B79" s="237"/>
      <c r="C79" s="237"/>
      <c r="D79" s="237"/>
      <c r="E79" s="237"/>
      <c r="F79" s="237"/>
      <c r="G79" s="237"/>
      <c r="H79" s="237"/>
      <c r="I79" s="237"/>
      <c r="J79" s="238"/>
      <c r="K79" s="172"/>
      <c r="L79" s="75"/>
      <c r="M79" s="75">
        <v>788</v>
      </c>
      <c r="N79" s="204" t="str">
        <f>IF($R$11&lt;=M79,IF($R$11&gt;=M78+0.01,U79,""),"")</f>
        <v/>
      </c>
      <c r="O79" s="204" t="str">
        <f>IF($R$11&lt;=M79,IF($R$11&gt;=M78+0.01,V79,""),"")</f>
        <v/>
      </c>
      <c r="P79" s="204" t="str">
        <f>IF($R$11&lt;=M79,IF($R$11&gt;=M78+0.01,W79,""),"")</f>
        <v/>
      </c>
      <c r="Q79" s="204" t="str">
        <f>IF($R$11&lt;=M79,IF($R$11&gt;=M78+0.01,X79,""),"")</f>
        <v/>
      </c>
      <c r="R79" s="204" t="str">
        <f>IF($R$11&lt;=M79,IF($R$11&gt;=M78+0.01,Y79,""),"")</f>
        <v/>
      </c>
      <c r="S79" s="207" t="str">
        <f>IF($R$11&lt;=M79,IF($R$11&gt;=M78+0.01,Z79,""),"")</f>
        <v/>
      </c>
      <c r="T79" s="81"/>
      <c r="U79" s="205">
        <v>3.2000000000000001E-2</v>
      </c>
      <c r="V79" s="205">
        <v>0</v>
      </c>
      <c r="W79" s="205">
        <v>0</v>
      </c>
      <c r="X79" s="205">
        <v>0</v>
      </c>
      <c r="Y79" s="205">
        <v>0</v>
      </c>
      <c r="Z79" s="205">
        <v>0</v>
      </c>
      <c r="AA79" s="75"/>
      <c r="AB79" s="246"/>
      <c r="AC79" s="246"/>
      <c r="AD79" s="246"/>
      <c r="AE79" s="246"/>
      <c r="AF79" s="246"/>
      <c r="AG79" s="246"/>
      <c r="AH79" s="75"/>
      <c r="AI79" s="75"/>
      <c r="AJ79" s="75"/>
      <c r="AK79" s="75"/>
      <c r="AL79" s="75"/>
      <c r="AM79" s="75"/>
      <c r="AN79" s="75"/>
      <c r="AO79" s="75"/>
      <c r="AP79" s="75"/>
      <c r="AQ79" s="75"/>
      <c r="AR79" s="75"/>
      <c r="AS79" s="75"/>
      <c r="AT79" s="75"/>
      <c r="AU79" s="75"/>
      <c r="AV79" s="75"/>
      <c r="AW79" s="75"/>
      <c r="AX79" s="75"/>
      <c r="AY79" s="75"/>
      <c r="AZ79" s="75"/>
      <c r="BA79" s="75"/>
      <c r="BB79" s="82"/>
      <c r="BC79" s="83"/>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c r="IL79" s="84"/>
      <c r="IM79" s="84"/>
    </row>
    <row r="80" spans="1:247" ht="16.5" customHeight="1" x14ac:dyDescent="0.35">
      <c r="B80" s="237"/>
      <c r="C80" s="237"/>
      <c r="D80" s="237"/>
      <c r="E80" s="237"/>
      <c r="F80" s="237"/>
      <c r="G80" s="237"/>
      <c r="H80" s="237"/>
      <c r="I80" s="237"/>
      <c r="J80" s="238"/>
      <c r="K80" s="172"/>
      <c r="L80" s="75"/>
      <c r="M80" s="75">
        <v>830</v>
      </c>
      <c r="N80" s="204" t="str">
        <f t="shared" ref="N80:N112" si="8">IF($R$11&lt;=M80,IF($R$11&gt;=M79+0.01,U80,""),"")</f>
        <v/>
      </c>
      <c r="O80" s="204" t="str">
        <f t="shared" ref="O80:O112" si="9">IF($R$11&lt;=M80,IF($R$11&gt;=M79+0.01,V80,""),"")</f>
        <v/>
      </c>
      <c r="P80" s="204" t="str">
        <f t="shared" ref="P80:P112" si="10">IF($R$11&lt;=M80,IF($R$11&gt;=M79+0.01,W80,""),"")</f>
        <v/>
      </c>
      <c r="Q80" s="204" t="str">
        <f t="shared" ref="Q80:Q112" si="11">IF($R$11&lt;=M80,IF($R$11&gt;=M79+0.01,X80,""),"")</f>
        <v/>
      </c>
      <c r="R80" s="204" t="str">
        <f t="shared" ref="R80:R112" si="12">IF($R$11&lt;=M80,IF($R$11&gt;=M79+0.01,Y80,""),"")</f>
        <v/>
      </c>
      <c r="S80" s="207" t="str">
        <f t="shared" ref="S80:S112" si="13">IF($R$11&lt;=M80,IF($R$11&gt;=M79+0.01,Z80,""),"")</f>
        <v/>
      </c>
      <c r="T80" s="81"/>
      <c r="U80" s="205">
        <v>4.5999999999999999E-2</v>
      </c>
      <c r="V80" s="205">
        <v>8.0000000000000002E-3</v>
      </c>
      <c r="W80" s="205">
        <v>0</v>
      </c>
      <c r="X80" s="205">
        <v>0</v>
      </c>
      <c r="Y80" s="205">
        <v>0</v>
      </c>
      <c r="Z80" s="205">
        <v>0</v>
      </c>
      <c r="AA80" s="75"/>
      <c r="AB80" s="246"/>
      <c r="AC80" s="246"/>
      <c r="AD80" s="246"/>
      <c r="AE80" s="246"/>
      <c r="AF80" s="246"/>
      <c r="AG80" s="246"/>
      <c r="AH80" s="75"/>
      <c r="AI80" s="75"/>
      <c r="AJ80" s="75"/>
      <c r="AK80" s="75"/>
      <c r="AL80" s="75"/>
      <c r="AM80" s="75"/>
      <c r="AN80" s="75"/>
      <c r="AO80" s="75"/>
      <c r="AP80" s="75"/>
      <c r="AQ80" s="75"/>
      <c r="AR80" s="75"/>
      <c r="AS80" s="75"/>
      <c r="AT80" s="75"/>
      <c r="AU80" s="75"/>
      <c r="AV80" s="75"/>
      <c r="AW80" s="75"/>
      <c r="AX80" s="75"/>
      <c r="AY80" s="75"/>
      <c r="AZ80" s="75"/>
      <c r="BA80" s="75"/>
      <c r="BB80" s="82"/>
      <c r="BC80" s="83"/>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row>
    <row r="81" spans="2:95" ht="16.5" customHeight="1" x14ac:dyDescent="0.35">
      <c r="B81" s="237"/>
      <c r="C81" s="237"/>
      <c r="D81" s="237"/>
      <c r="E81" s="237"/>
      <c r="F81" s="237"/>
      <c r="G81" s="237"/>
      <c r="H81" s="237"/>
      <c r="I81" s="237"/>
      <c r="J81" s="238"/>
      <c r="K81" s="172"/>
      <c r="L81" s="75"/>
      <c r="M81" s="75">
        <v>874</v>
      </c>
      <c r="N81" s="204" t="str">
        <f t="shared" si="8"/>
        <v/>
      </c>
      <c r="O81" s="204" t="str">
        <f t="shared" si="9"/>
        <v/>
      </c>
      <c r="P81" s="204" t="str">
        <f t="shared" si="10"/>
        <v/>
      </c>
      <c r="Q81" s="204" t="str">
        <f t="shared" si="11"/>
        <v/>
      </c>
      <c r="R81" s="204" t="str">
        <f t="shared" si="12"/>
        <v/>
      </c>
      <c r="S81" s="207" t="str">
        <f t="shared" si="13"/>
        <v/>
      </c>
      <c r="T81" s="81"/>
      <c r="U81" s="205">
        <v>5.5E-2</v>
      </c>
      <c r="V81" s="205">
        <v>1.7000000000000001E-2</v>
      </c>
      <c r="W81" s="205">
        <v>8.0000000000000002E-3</v>
      </c>
      <c r="X81" s="205">
        <v>0</v>
      </c>
      <c r="Y81" s="205">
        <v>0</v>
      </c>
      <c r="Z81" s="205">
        <v>0</v>
      </c>
      <c r="AA81" s="75"/>
      <c r="AB81" s="246"/>
      <c r="AC81" s="246"/>
      <c r="AD81" s="246"/>
      <c r="AE81" s="246"/>
      <c r="AF81" s="246"/>
      <c r="AG81" s="246"/>
      <c r="AH81" s="75"/>
      <c r="AI81" s="75"/>
      <c r="AJ81" s="75"/>
      <c r="AK81" s="75"/>
      <c r="AL81" s="75"/>
      <c r="AM81" s="75"/>
      <c r="AN81" s="75"/>
      <c r="AO81" s="75"/>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c r="CO81" s="247"/>
      <c r="CP81" s="247"/>
      <c r="CQ81" s="247"/>
    </row>
    <row r="82" spans="2:95" ht="16.5" customHeight="1" x14ac:dyDescent="0.35">
      <c r="B82" s="237"/>
      <c r="C82" s="237"/>
      <c r="D82" s="237"/>
      <c r="E82" s="237"/>
      <c r="F82" s="237"/>
      <c r="G82" s="237"/>
      <c r="H82" s="237"/>
      <c r="I82" s="237"/>
      <c r="J82" s="238"/>
      <c r="K82" s="172"/>
      <c r="L82" s="75"/>
      <c r="M82" s="75">
        <v>925</v>
      </c>
      <c r="N82" s="204" t="str">
        <f t="shared" si="8"/>
        <v/>
      </c>
      <c r="O82" s="204" t="str">
        <f t="shared" si="9"/>
        <v/>
      </c>
      <c r="P82" s="204" t="str">
        <f t="shared" si="10"/>
        <v/>
      </c>
      <c r="Q82" s="204" t="str">
        <f t="shared" si="11"/>
        <v/>
      </c>
      <c r="R82" s="204" t="str">
        <f t="shared" si="12"/>
        <v/>
      </c>
      <c r="S82" s="207" t="str">
        <f t="shared" si="13"/>
        <v/>
      </c>
      <c r="T82" s="81"/>
      <c r="U82" s="205">
        <v>6.4000000000000001E-2</v>
      </c>
      <c r="V82" s="205">
        <v>3.5999999999999997E-2</v>
      </c>
      <c r="W82" s="205">
        <v>1.0999999999999999E-2</v>
      </c>
      <c r="X82" s="205">
        <v>0</v>
      </c>
      <c r="Y82" s="205">
        <v>0</v>
      </c>
      <c r="Z82" s="205">
        <v>0</v>
      </c>
      <c r="AA82" s="75"/>
      <c r="AB82" s="246"/>
      <c r="AC82" s="246"/>
      <c r="AD82" s="246"/>
      <c r="AE82" s="246"/>
      <c r="AF82" s="246"/>
      <c r="AG82" s="246"/>
      <c r="AH82" s="75"/>
      <c r="AI82" s="75"/>
      <c r="AJ82" s="75"/>
      <c r="AK82" s="75"/>
      <c r="AL82" s="75"/>
      <c r="AM82" s="75"/>
      <c r="AN82" s="75"/>
      <c r="AO82" s="75"/>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c r="CO82" s="247"/>
      <c r="CP82" s="247"/>
      <c r="CQ82" s="247"/>
    </row>
    <row r="83" spans="2:95" ht="16.5" customHeight="1" x14ac:dyDescent="0.35">
      <c r="B83" s="237"/>
      <c r="C83" s="237"/>
      <c r="D83" s="237"/>
      <c r="E83" s="237"/>
      <c r="F83" s="237"/>
      <c r="G83" s="237"/>
      <c r="H83" s="237"/>
      <c r="I83" s="237"/>
      <c r="J83" s="238"/>
      <c r="K83" s="172"/>
      <c r="L83" s="75"/>
      <c r="M83" s="203">
        <v>1017</v>
      </c>
      <c r="N83" s="204" t="str">
        <f t="shared" si="8"/>
        <v/>
      </c>
      <c r="O83" s="204" t="str">
        <f t="shared" si="9"/>
        <v/>
      </c>
      <c r="P83" s="204" t="str">
        <f t="shared" si="10"/>
        <v/>
      </c>
      <c r="Q83" s="204" t="str">
        <f t="shared" si="11"/>
        <v/>
      </c>
      <c r="R83" s="204" t="str">
        <f t="shared" si="12"/>
        <v/>
      </c>
      <c r="S83" s="207" t="str">
        <f t="shared" si="13"/>
        <v/>
      </c>
      <c r="T83" s="81"/>
      <c r="U83" s="205">
        <v>7.1999999999999995E-2</v>
      </c>
      <c r="V83" s="205">
        <v>4.4999999999999998E-2</v>
      </c>
      <c r="W83" s="205">
        <v>2.8000000000000001E-2</v>
      </c>
      <c r="X83" s="205">
        <v>0</v>
      </c>
      <c r="Y83" s="205">
        <v>0</v>
      </c>
      <c r="Z83" s="205">
        <v>0</v>
      </c>
      <c r="AA83" s="75"/>
      <c r="AB83" s="246"/>
      <c r="AC83" s="246"/>
      <c r="AD83" s="246"/>
      <c r="AE83" s="246"/>
      <c r="AF83" s="246"/>
      <c r="AG83" s="246"/>
      <c r="AH83" s="75"/>
      <c r="AI83" s="75"/>
      <c r="AJ83" s="75"/>
      <c r="AK83" s="75"/>
      <c r="AL83" s="75"/>
      <c r="AM83" s="75"/>
      <c r="AN83" s="75"/>
      <c r="AO83" s="75"/>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c r="CO83" s="247"/>
      <c r="CP83" s="247"/>
      <c r="CQ83" s="247"/>
    </row>
    <row r="84" spans="2:95" ht="16.5" customHeight="1" x14ac:dyDescent="0.35">
      <c r="B84" s="237"/>
      <c r="C84" s="237"/>
      <c r="D84" s="237"/>
      <c r="E84" s="237"/>
      <c r="F84" s="237"/>
      <c r="G84" s="237"/>
      <c r="H84" s="237"/>
      <c r="I84" s="237"/>
      <c r="J84" s="238"/>
      <c r="K84" s="172"/>
      <c r="L84" s="75"/>
      <c r="M84" s="203">
        <v>1129</v>
      </c>
      <c r="N84" s="204" t="str">
        <f t="shared" si="8"/>
        <v/>
      </c>
      <c r="O84" s="204" t="str">
        <f t="shared" si="9"/>
        <v/>
      </c>
      <c r="P84" s="204" t="str">
        <f t="shared" si="10"/>
        <v/>
      </c>
      <c r="Q84" s="204" t="str">
        <f t="shared" si="11"/>
        <v/>
      </c>
      <c r="R84" s="204" t="str">
        <f t="shared" si="12"/>
        <v/>
      </c>
      <c r="S84" s="207" t="str">
        <f t="shared" si="13"/>
        <v/>
      </c>
      <c r="T84" s="81"/>
      <c r="U84" s="205">
        <v>0.08</v>
      </c>
      <c r="V84" s="205">
        <v>5.3999999999999999E-2</v>
      </c>
      <c r="W84" s="205">
        <v>3.5999999999999997E-2</v>
      </c>
      <c r="X84" s="205">
        <v>8.9999999999999993E-3</v>
      </c>
      <c r="Y84" s="205">
        <v>0</v>
      </c>
      <c r="Z84" s="205">
        <v>0</v>
      </c>
      <c r="AA84" s="75"/>
      <c r="AB84" s="246"/>
      <c r="AC84" s="246"/>
      <c r="AD84" s="246"/>
      <c r="AE84" s="246"/>
      <c r="AF84" s="246"/>
      <c r="AG84" s="246"/>
      <c r="AH84" s="75"/>
      <c r="AI84" s="75"/>
      <c r="AJ84" s="75"/>
      <c r="AK84" s="75"/>
      <c r="AL84" s="75"/>
      <c r="AM84" s="75"/>
      <c r="AN84" s="75"/>
      <c r="AO84" s="75"/>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c r="CO84" s="247"/>
      <c r="CP84" s="247"/>
      <c r="CQ84" s="247"/>
    </row>
    <row r="85" spans="2:95" ht="16.5" customHeight="1" x14ac:dyDescent="0.35">
      <c r="B85" s="237"/>
      <c r="C85" s="237"/>
      <c r="D85" s="237"/>
      <c r="E85" s="237"/>
      <c r="F85" s="237"/>
      <c r="G85" s="237"/>
      <c r="H85" s="237"/>
      <c r="I85" s="237"/>
      <c r="J85" s="238"/>
      <c r="K85" s="172"/>
      <c r="L85" s="75"/>
      <c r="M85" s="203">
        <v>1280</v>
      </c>
      <c r="N85" s="204" t="str">
        <f t="shared" si="8"/>
        <v/>
      </c>
      <c r="O85" s="204" t="str">
        <f t="shared" si="9"/>
        <v/>
      </c>
      <c r="P85" s="204" t="str">
        <f t="shared" si="10"/>
        <v/>
      </c>
      <c r="Q85" s="204" t="str">
        <f t="shared" si="11"/>
        <v/>
      </c>
      <c r="R85" s="204" t="str">
        <f t="shared" si="12"/>
        <v/>
      </c>
      <c r="S85" s="207" t="str">
        <f t="shared" si="13"/>
        <v/>
      </c>
      <c r="T85" s="81"/>
      <c r="U85" s="205">
        <v>9.0999999999999998E-2</v>
      </c>
      <c r="V85" s="205">
        <v>6.8000000000000005E-2</v>
      </c>
      <c r="W85" s="205">
        <v>4.5999999999999999E-2</v>
      </c>
      <c r="X85" s="205">
        <v>1.9E-2</v>
      </c>
      <c r="Y85" s="205">
        <v>0</v>
      </c>
      <c r="Z85" s="205">
        <v>0</v>
      </c>
      <c r="AA85" s="75"/>
      <c r="AB85" s="246"/>
      <c r="AC85" s="246"/>
      <c r="AD85" s="246"/>
      <c r="AE85" s="246"/>
      <c r="AF85" s="246"/>
      <c r="AG85" s="246"/>
      <c r="AH85" s="75"/>
      <c r="AI85" s="75"/>
      <c r="AJ85" s="75"/>
      <c r="AK85" s="75"/>
      <c r="AL85" s="75"/>
      <c r="AM85" s="75"/>
      <c r="AN85" s="75"/>
      <c r="AO85" s="75"/>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c r="CO85" s="247"/>
      <c r="CP85" s="247"/>
      <c r="CQ85" s="247"/>
    </row>
    <row r="86" spans="2:95" ht="16.5" customHeight="1" x14ac:dyDescent="0.35">
      <c r="B86" s="237"/>
      <c r="C86" s="237"/>
      <c r="D86" s="237"/>
      <c r="E86" s="237"/>
      <c r="F86" s="237"/>
      <c r="G86" s="237"/>
      <c r="H86" s="237"/>
      <c r="I86" s="237"/>
      <c r="J86" s="238"/>
      <c r="K86" s="172"/>
      <c r="L86" s="75"/>
      <c r="M86" s="203">
        <v>1445</v>
      </c>
      <c r="N86" s="204" t="str">
        <f t="shared" si="8"/>
        <v/>
      </c>
      <c r="O86" s="204" t="str">
        <f t="shared" si="9"/>
        <v/>
      </c>
      <c r="P86" s="204" t="str">
        <f t="shared" si="10"/>
        <v/>
      </c>
      <c r="Q86" s="204" t="str">
        <f t="shared" si="11"/>
        <v/>
      </c>
      <c r="R86" s="204" t="str">
        <f t="shared" si="12"/>
        <v/>
      </c>
      <c r="S86" s="207" t="str">
        <f t="shared" si="13"/>
        <v/>
      </c>
      <c r="T86" s="81"/>
      <c r="U86" s="205">
        <v>0.107</v>
      </c>
      <c r="V86" s="205">
        <v>8.8999999999999996E-2</v>
      </c>
      <c r="W86" s="205">
        <v>7.0999999999999994E-2</v>
      </c>
      <c r="X86" s="205">
        <v>4.2999999999999997E-2</v>
      </c>
      <c r="Y86" s="205">
        <v>2.5999999999999999E-2</v>
      </c>
      <c r="Z86" s="205">
        <v>1.7000000000000001E-2</v>
      </c>
      <c r="AA86" s="75"/>
      <c r="AB86" s="246"/>
      <c r="AC86" s="246"/>
      <c r="AD86" s="246"/>
      <c r="AE86" s="246"/>
      <c r="AF86" s="246"/>
      <c r="AG86" s="246"/>
      <c r="AH86" s="75"/>
      <c r="AI86" s="75"/>
      <c r="AJ86" s="75"/>
      <c r="AK86" s="75"/>
      <c r="AL86" s="75"/>
      <c r="AM86" s="75"/>
      <c r="AN86" s="75"/>
      <c r="AO86" s="75"/>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c r="CO86" s="247"/>
      <c r="CP86" s="247"/>
      <c r="CQ86" s="247"/>
    </row>
    <row r="87" spans="2:95" x14ac:dyDescent="0.35">
      <c r="B87" s="237"/>
      <c r="C87" s="237"/>
      <c r="D87" s="237"/>
      <c r="E87" s="237"/>
      <c r="F87" s="237"/>
      <c r="G87" s="237"/>
      <c r="H87" s="237"/>
      <c r="I87" s="237"/>
      <c r="J87" s="238"/>
      <c r="K87" s="172"/>
      <c r="L87" s="75"/>
      <c r="M87" s="203">
        <v>1677</v>
      </c>
      <c r="N87" s="204">
        <f t="shared" si="8"/>
        <v>0.11700000000000001</v>
      </c>
      <c r="O87" s="204">
        <f t="shared" si="9"/>
        <v>0.1</v>
      </c>
      <c r="P87" s="204">
        <f t="shared" si="10"/>
        <v>8.1000000000000003E-2</v>
      </c>
      <c r="Q87" s="204">
        <f t="shared" si="11"/>
        <v>6.3E-2</v>
      </c>
      <c r="R87" s="204">
        <f t="shared" si="12"/>
        <v>4.4999999999999998E-2</v>
      </c>
      <c r="S87" s="207">
        <f t="shared" si="13"/>
        <v>2.7E-2</v>
      </c>
      <c r="T87" s="81"/>
      <c r="U87" s="205">
        <v>0.11700000000000001</v>
      </c>
      <c r="V87" s="205">
        <v>0.1</v>
      </c>
      <c r="W87" s="205">
        <v>8.1000000000000003E-2</v>
      </c>
      <c r="X87" s="205">
        <v>6.3E-2</v>
      </c>
      <c r="Y87" s="205">
        <v>4.4999999999999998E-2</v>
      </c>
      <c r="Z87" s="205">
        <v>2.7E-2</v>
      </c>
      <c r="AA87" s="75"/>
      <c r="AB87" s="246"/>
      <c r="AC87" s="246"/>
      <c r="AD87" s="246"/>
      <c r="AE87" s="246"/>
      <c r="AF87" s="246"/>
      <c r="AG87" s="246"/>
      <c r="AH87" s="75"/>
      <c r="AI87" s="75"/>
      <c r="AJ87" s="75"/>
      <c r="AK87" s="75"/>
      <c r="AL87" s="75"/>
      <c r="AM87" s="75"/>
      <c r="AN87" s="75"/>
      <c r="AO87" s="75"/>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c r="CO87" s="247"/>
      <c r="CP87" s="247"/>
      <c r="CQ87" s="247"/>
    </row>
    <row r="88" spans="2:95" x14ac:dyDescent="0.35">
      <c r="B88" s="237"/>
      <c r="C88" s="237"/>
      <c r="D88" s="237"/>
      <c r="E88" s="237"/>
      <c r="F88" s="237"/>
      <c r="G88" s="237"/>
      <c r="H88" s="237"/>
      <c r="I88" s="237"/>
      <c r="J88" s="238"/>
      <c r="K88" s="172"/>
      <c r="L88" s="75"/>
      <c r="M88" s="203">
        <v>1784</v>
      </c>
      <c r="N88" s="204" t="str">
        <f t="shared" si="8"/>
        <v/>
      </c>
      <c r="O88" s="204" t="str">
        <f t="shared" si="9"/>
        <v/>
      </c>
      <c r="P88" s="204" t="str">
        <f t="shared" si="10"/>
        <v/>
      </c>
      <c r="Q88" s="204" t="str">
        <f t="shared" si="11"/>
        <v/>
      </c>
      <c r="R88" s="204" t="str">
        <f t="shared" si="12"/>
        <v/>
      </c>
      <c r="S88" s="207" t="str">
        <f t="shared" si="13"/>
        <v/>
      </c>
      <c r="T88" s="81"/>
      <c r="U88" s="205">
        <v>0.13100000000000001</v>
      </c>
      <c r="V88" s="205">
        <v>0.114</v>
      </c>
      <c r="W88" s="205">
        <v>0.106</v>
      </c>
      <c r="X88" s="205">
        <v>7.6999999999999999E-2</v>
      </c>
      <c r="Y88" s="205">
        <v>5.8999999999999997E-2</v>
      </c>
      <c r="Z88" s="205">
        <v>5.0999999999999997E-2</v>
      </c>
      <c r="AA88" s="75"/>
      <c r="AB88" s="246"/>
      <c r="AC88" s="246"/>
      <c r="AD88" s="246"/>
      <c r="AE88" s="246"/>
      <c r="AF88" s="246"/>
      <c r="AG88" s="246"/>
      <c r="AH88" s="75"/>
      <c r="AI88" s="75"/>
      <c r="AJ88" s="75"/>
      <c r="AK88" s="75"/>
      <c r="AL88" s="75"/>
      <c r="AM88" s="75"/>
      <c r="AN88" s="75"/>
      <c r="AO88" s="75"/>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c r="CO88" s="247"/>
      <c r="CP88" s="247"/>
      <c r="CQ88" s="247"/>
    </row>
    <row r="89" spans="2:95" x14ac:dyDescent="0.35">
      <c r="B89" s="237"/>
      <c r="C89" s="237"/>
      <c r="D89" s="237"/>
      <c r="E89" s="237"/>
      <c r="F89" s="237"/>
      <c r="G89" s="237"/>
      <c r="H89" s="237"/>
      <c r="I89" s="237"/>
      <c r="J89" s="238"/>
      <c r="K89" s="172"/>
      <c r="L89" s="75"/>
      <c r="M89" s="203">
        <v>1903</v>
      </c>
      <c r="N89" s="204" t="str">
        <f t="shared" si="8"/>
        <v/>
      </c>
      <c r="O89" s="204" t="str">
        <f t="shared" si="9"/>
        <v/>
      </c>
      <c r="P89" s="204" t="str">
        <f t="shared" si="10"/>
        <v/>
      </c>
      <c r="Q89" s="204" t="str">
        <f t="shared" si="11"/>
        <v/>
      </c>
      <c r="R89" s="204" t="str">
        <f t="shared" si="12"/>
        <v/>
      </c>
      <c r="S89" s="207" t="str">
        <f t="shared" si="13"/>
        <v/>
      </c>
      <c r="T89" s="81"/>
      <c r="U89" s="205">
        <v>0.14000000000000001</v>
      </c>
      <c r="V89" s="205">
        <v>0.124</v>
      </c>
      <c r="W89" s="205">
        <v>0.11700000000000001</v>
      </c>
      <c r="X89" s="205">
        <v>0.09</v>
      </c>
      <c r="Y89" s="205">
        <v>7.2999999999999995E-2</v>
      </c>
      <c r="Z89" s="205">
        <v>6.5000000000000002E-2</v>
      </c>
      <c r="AA89" s="75"/>
      <c r="AB89" s="246"/>
      <c r="AC89" s="246"/>
      <c r="AD89" s="246"/>
      <c r="AE89" s="246"/>
      <c r="AF89" s="246"/>
      <c r="AG89" s="246"/>
      <c r="AH89" s="75"/>
      <c r="AI89" s="75"/>
      <c r="AJ89" s="75"/>
      <c r="AK89" s="75"/>
      <c r="AL89" s="75"/>
      <c r="AM89" s="75"/>
      <c r="AN89" s="75"/>
      <c r="AO89" s="75"/>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c r="CO89" s="247"/>
      <c r="CP89" s="247"/>
      <c r="CQ89" s="247"/>
    </row>
    <row r="90" spans="2:95" x14ac:dyDescent="0.35">
      <c r="B90" s="237"/>
      <c r="C90" s="237"/>
      <c r="D90" s="237"/>
      <c r="E90" s="237"/>
      <c r="F90" s="237"/>
      <c r="G90" s="237"/>
      <c r="H90" s="237"/>
      <c r="I90" s="237"/>
      <c r="J90" s="238"/>
      <c r="K90" s="172"/>
      <c r="L90" s="75"/>
      <c r="M90" s="203">
        <v>2056</v>
      </c>
      <c r="N90" s="204" t="str">
        <f t="shared" si="8"/>
        <v/>
      </c>
      <c r="O90" s="204" t="str">
        <f t="shared" si="9"/>
        <v/>
      </c>
      <c r="P90" s="204" t="str">
        <f t="shared" si="10"/>
        <v/>
      </c>
      <c r="Q90" s="204" t="str">
        <f t="shared" si="11"/>
        <v/>
      </c>
      <c r="R90" s="204" t="str">
        <f t="shared" si="12"/>
        <v/>
      </c>
      <c r="S90" s="207" t="str">
        <f t="shared" si="13"/>
        <v/>
      </c>
      <c r="T90" s="81"/>
      <c r="U90" s="205">
        <v>0.15</v>
      </c>
      <c r="V90" s="205">
        <v>0.13300000000000001</v>
      </c>
      <c r="W90" s="205">
        <v>0.125</v>
      </c>
      <c r="X90" s="205">
        <v>0.1</v>
      </c>
      <c r="Y90" s="205">
        <v>9.1999999999999998E-2</v>
      </c>
      <c r="Z90" s="205">
        <v>7.3999999999999996E-2</v>
      </c>
      <c r="AA90" s="75"/>
      <c r="AB90" s="246"/>
      <c r="AC90" s="246"/>
      <c r="AD90" s="246"/>
      <c r="AE90" s="246"/>
      <c r="AF90" s="246"/>
      <c r="AG90" s="246"/>
      <c r="AH90" s="75"/>
      <c r="AI90" s="75"/>
      <c r="AJ90" s="75"/>
      <c r="AK90" s="75"/>
      <c r="AL90" s="75"/>
      <c r="AM90" s="75"/>
      <c r="AN90" s="75"/>
      <c r="AO90" s="75"/>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c r="CO90" s="247"/>
      <c r="CP90" s="247"/>
      <c r="CQ90" s="247"/>
    </row>
    <row r="91" spans="2:95" x14ac:dyDescent="0.35">
      <c r="B91" s="237"/>
      <c r="C91" s="237"/>
      <c r="D91" s="237"/>
      <c r="E91" s="237"/>
      <c r="F91" s="237"/>
      <c r="G91" s="237"/>
      <c r="H91" s="237"/>
      <c r="I91" s="237"/>
      <c r="J91" s="238"/>
      <c r="K91" s="172"/>
      <c r="L91" s="75"/>
      <c r="M91" s="203">
        <v>2221</v>
      </c>
      <c r="N91" s="204" t="str">
        <f t="shared" si="8"/>
        <v/>
      </c>
      <c r="O91" s="204" t="str">
        <f t="shared" si="9"/>
        <v/>
      </c>
      <c r="P91" s="204" t="str">
        <f t="shared" si="10"/>
        <v/>
      </c>
      <c r="Q91" s="204" t="str">
        <f t="shared" si="11"/>
        <v/>
      </c>
      <c r="R91" s="204" t="str">
        <f t="shared" si="12"/>
        <v/>
      </c>
      <c r="S91" s="207" t="str">
        <f t="shared" si="13"/>
        <v/>
      </c>
      <c r="T91" s="81"/>
      <c r="U91" s="205">
        <v>0.16</v>
      </c>
      <c r="V91" s="205">
        <v>0.14299999999999999</v>
      </c>
      <c r="W91" s="205">
        <v>0.13500000000000001</v>
      </c>
      <c r="X91" s="205">
        <v>0.109</v>
      </c>
      <c r="Y91" s="205">
        <v>0.10199999999999999</v>
      </c>
      <c r="Z91" s="205">
        <v>8.5000000000000006E-2</v>
      </c>
      <c r="AA91" s="75"/>
      <c r="AB91" s="246"/>
      <c r="AC91" s="246"/>
      <c r="AD91" s="246"/>
      <c r="AE91" s="246"/>
      <c r="AF91" s="246"/>
      <c r="AG91" s="246"/>
      <c r="AH91" s="75"/>
      <c r="AI91" s="75"/>
      <c r="AJ91" s="75"/>
      <c r="AK91" s="75"/>
      <c r="AL91" s="75"/>
      <c r="AM91" s="75"/>
      <c r="AN91" s="75"/>
      <c r="AO91" s="75"/>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c r="CO91" s="247"/>
      <c r="CP91" s="247"/>
      <c r="CQ91" s="247"/>
    </row>
    <row r="92" spans="2:95" x14ac:dyDescent="0.35">
      <c r="B92" s="237"/>
      <c r="C92" s="237"/>
      <c r="D92" s="237"/>
      <c r="E92" s="237"/>
      <c r="F92" s="237"/>
      <c r="G92" s="237"/>
      <c r="H92" s="237"/>
      <c r="I92" s="237"/>
      <c r="J92" s="238"/>
      <c r="K92" s="172"/>
      <c r="L92" s="75"/>
      <c r="M92" s="203">
        <v>2416</v>
      </c>
      <c r="N92" s="204" t="str">
        <f t="shared" si="8"/>
        <v/>
      </c>
      <c r="O92" s="204" t="str">
        <f t="shared" si="9"/>
        <v/>
      </c>
      <c r="P92" s="204" t="str">
        <f t="shared" si="10"/>
        <v/>
      </c>
      <c r="Q92" s="204" t="str">
        <f t="shared" si="11"/>
        <v/>
      </c>
      <c r="R92" s="204" t="str">
        <f t="shared" si="12"/>
        <v/>
      </c>
      <c r="S92" s="207" t="str">
        <f t="shared" si="13"/>
        <v/>
      </c>
      <c r="T92" s="81"/>
      <c r="U92" s="205">
        <v>0.17</v>
      </c>
      <c r="V92" s="205">
        <v>0.16300000000000001</v>
      </c>
      <c r="W92" s="205">
        <v>0.14599999999999999</v>
      </c>
      <c r="X92" s="205">
        <v>0.11899999999999999</v>
      </c>
      <c r="Y92" s="205">
        <v>0.111</v>
      </c>
      <c r="Z92" s="205">
        <v>9.5000000000000001E-2</v>
      </c>
      <c r="AA92" s="75"/>
      <c r="AB92" s="246"/>
      <c r="AC92" s="246"/>
      <c r="AD92" s="246"/>
      <c r="AE92" s="246"/>
      <c r="AF92" s="246"/>
      <c r="AG92" s="246"/>
      <c r="AH92" s="75"/>
      <c r="AI92" s="75"/>
      <c r="AJ92" s="75"/>
      <c r="AK92" s="75"/>
      <c r="AL92" s="75"/>
      <c r="AM92" s="75"/>
      <c r="AN92" s="75"/>
      <c r="AO92" s="75"/>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c r="CO92" s="247"/>
      <c r="CP92" s="247"/>
      <c r="CQ92" s="247"/>
    </row>
    <row r="93" spans="2:95" x14ac:dyDescent="0.35">
      <c r="B93" s="237"/>
      <c r="C93" s="237"/>
      <c r="D93" s="237"/>
      <c r="E93" s="237"/>
      <c r="F93" s="237"/>
      <c r="G93" s="237"/>
      <c r="H93" s="237"/>
      <c r="I93" s="237"/>
      <c r="J93" s="238"/>
      <c r="K93" s="172"/>
      <c r="L93" s="75"/>
      <c r="M93" s="203">
        <v>2642</v>
      </c>
      <c r="N93" s="204" t="str">
        <f t="shared" si="8"/>
        <v/>
      </c>
      <c r="O93" s="204" t="str">
        <f t="shared" si="9"/>
        <v/>
      </c>
      <c r="P93" s="204" t="str">
        <f t="shared" si="10"/>
        <v/>
      </c>
      <c r="Q93" s="204" t="str">
        <f t="shared" si="11"/>
        <v/>
      </c>
      <c r="R93" s="204" t="str">
        <f t="shared" si="12"/>
        <v/>
      </c>
      <c r="S93" s="207" t="str">
        <f t="shared" si="13"/>
        <v/>
      </c>
      <c r="T93" s="81"/>
      <c r="U93" s="205">
        <v>0.17799999999999999</v>
      </c>
      <c r="V93" s="205">
        <v>0.17199999999999999</v>
      </c>
      <c r="W93" s="205">
        <v>0.156</v>
      </c>
      <c r="X93" s="205">
        <v>0.13800000000000001</v>
      </c>
      <c r="Y93" s="205">
        <v>0.121</v>
      </c>
      <c r="Z93" s="205">
        <v>0.114</v>
      </c>
      <c r="AA93" s="75"/>
      <c r="AB93" s="246"/>
      <c r="AC93" s="246"/>
      <c r="AD93" s="246"/>
      <c r="AE93" s="246"/>
      <c r="AF93" s="246"/>
      <c r="AG93" s="246"/>
      <c r="AH93" s="75"/>
      <c r="AI93" s="75"/>
      <c r="AJ93" s="75"/>
      <c r="AK93" s="75"/>
      <c r="AL93" s="75"/>
      <c r="AM93" s="75"/>
      <c r="AN93" s="75"/>
      <c r="AO93" s="75"/>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c r="CO93" s="247"/>
      <c r="CP93" s="247"/>
      <c r="CQ93" s="247"/>
    </row>
    <row r="94" spans="2:95" x14ac:dyDescent="0.35">
      <c r="B94" s="238"/>
      <c r="C94" s="238"/>
      <c r="D94" s="238"/>
      <c r="E94" s="238"/>
      <c r="F94" s="238"/>
      <c r="G94" s="238"/>
      <c r="H94" s="238"/>
      <c r="I94" s="238"/>
      <c r="J94" s="238"/>
      <c r="K94" s="172"/>
      <c r="L94" s="75"/>
      <c r="M94" s="203">
        <v>3020</v>
      </c>
      <c r="N94" s="204" t="str">
        <f t="shared" si="8"/>
        <v/>
      </c>
      <c r="O94" s="204" t="str">
        <f t="shared" si="9"/>
        <v/>
      </c>
      <c r="P94" s="204" t="str">
        <f t="shared" si="10"/>
        <v/>
      </c>
      <c r="Q94" s="204" t="str">
        <f t="shared" si="11"/>
        <v/>
      </c>
      <c r="R94" s="204" t="str">
        <f t="shared" si="12"/>
        <v/>
      </c>
      <c r="S94" s="207" t="str">
        <f t="shared" si="13"/>
        <v/>
      </c>
      <c r="T94" s="81"/>
      <c r="U94" s="205">
        <v>0.189</v>
      </c>
      <c r="V94" s="205">
        <v>0.182</v>
      </c>
      <c r="W94" s="205">
        <v>0.16600000000000001</v>
      </c>
      <c r="X94" s="205">
        <v>0.14799999999999999</v>
      </c>
      <c r="Y94" s="205">
        <v>0.13100000000000001</v>
      </c>
      <c r="Z94" s="205">
        <v>0.123</v>
      </c>
      <c r="AA94" s="75"/>
      <c r="AB94" s="246"/>
      <c r="AC94" s="246"/>
      <c r="AD94" s="246"/>
      <c r="AE94" s="246"/>
      <c r="AF94" s="246"/>
      <c r="AG94" s="246"/>
      <c r="AH94" s="75"/>
      <c r="AI94" s="75"/>
      <c r="AJ94" s="75"/>
      <c r="AK94" s="75"/>
      <c r="AL94" s="75"/>
      <c r="AM94" s="75"/>
      <c r="AN94" s="75"/>
      <c r="AO94" s="75"/>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c r="CO94" s="247"/>
      <c r="CP94" s="247"/>
      <c r="CQ94" s="247"/>
    </row>
    <row r="95" spans="2:95" x14ac:dyDescent="0.35">
      <c r="B95" s="238"/>
      <c r="C95" s="238"/>
      <c r="D95" s="238"/>
      <c r="E95" s="238"/>
      <c r="F95" s="238"/>
      <c r="G95" s="238"/>
      <c r="H95" s="238"/>
      <c r="I95" s="238"/>
      <c r="J95" s="238"/>
      <c r="K95" s="172"/>
      <c r="L95" s="75"/>
      <c r="M95" s="203">
        <v>3455</v>
      </c>
      <c r="N95" s="204" t="str">
        <f t="shared" si="8"/>
        <v/>
      </c>
      <c r="O95" s="204" t="str">
        <f t="shared" si="9"/>
        <v/>
      </c>
      <c r="P95" s="204" t="str">
        <f t="shared" si="10"/>
        <v/>
      </c>
      <c r="Q95" s="204" t="str">
        <f t="shared" si="11"/>
        <v/>
      </c>
      <c r="R95" s="204" t="str">
        <f t="shared" si="12"/>
        <v/>
      </c>
      <c r="S95" s="207" t="str">
        <f t="shared" si="13"/>
        <v/>
      </c>
      <c r="T95" s="81"/>
      <c r="U95" s="205">
        <v>0.215</v>
      </c>
      <c r="V95" s="205">
        <v>0.214</v>
      </c>
      <c r="W95" s="205">
        <v>0.19800000000000001</v>
      </c>
      <c r="X95" s="205">
        <v>0.184</v>
      </c>
      <c r="Y95" s="205">
        <v>0.17100000000000001</v>
      </c>
      <c r="Z95" s="205">
        <v>0.16700000000000001</v>
      </c>
      <c r="AA95" s="75"/>
      <c r="AB95" s="246"/>
      <c r="AC95" s="246"/>
      <c r="AD95" s="246"/>
      <c r="AE95" s="246"/>
      <c r="AF95" s="246"/>
      <c r="AG95" s="246"/>
      <c r="AH95" s="75"/>
      <c r="AI95" s="75"/>
      <c r="AJ95" s="75"/>
      <c r="AK95" s="75"/>
      <c r="AL95" s="75"/>
      <c r="AM95" s="75"/>
      <c r="AN95" s="75"/>
      <c r="AO95" s="75"/>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c r="CO95" s="247"/>
      <c r="CP95" s="247"/>
      <c r="CQ95" s="247"/>
    </row>
    <row r="96" spans="2:95" x14ac:dyDescent="0.35">
      <c r="B96" s="238"/>
      <c r="C96" s="238"/>
      <c r="D96" s="238"/>
      <c r="E96" s="238"/>
      <c r="F96" s="238"/>
      <c r="G96" s="238"/>
      <c r="H96" s="238"/>
      <c r="I96" s="238"/>
      <c r="J96" s="238"/>
      <c r="K96" s="248"/>
      <c r="L96" s="249"/>
      <c r="M96" s="250">
        <v>3717</v>
      </c>
      <c r="N96" s="251" t="str">
        <f t="shared" si="8"/>
        <v/>
      </c>
      <c r="O96" s="251" t="str">
        <f t="shared" si="9"/>
        <v/>
      </c>
      <c r="P96" s="251" t="str">
        <f t="shared" si="10"/>
        <v/>
      </c>
      <c r="Q96" s="251" t="str">
        <f t="shared" si="11"/>
        <v/>
      </c>
      <c r="R96" s="251" t="str">
        <f t="shared" si="12"/>
        <v/>
      </c>
      <c r="S96" s="252" t="str">
        <f t="shared" si="13"/>
        <v/>
      </c>
      <c r="T96" s="253"/>
      <c r="U96" s="254">
        <v>0.224</v>
      </c>
      <c r="V96" s="254">
        <v>0.223</v>
      </c>
      <c r="W96" s="254">
        <v>0.21</v>
      </c>
      <c r="X96" s="254">
        <v>0.19400000000000001</v>
      </c>
      <c r="Y96" s="254">
        <v>0.19</v>
      </c>
      <c r="Z96" s="254">
        <v>0.17599999999999999</v>
      </c>
      <c r="AA96" s="249"/>
      <c r="AB96" s="255"/>
      <c r="AC96" s="255"/>
      <c r="AD96" s="255"/>
      <c r="AE96" s="255"/>
      <c r="AF96" s="255"/>
      <c r="AG96" s="255"/>
      <c r="AH96" s="249"/>
      <c r="AI96" s="249"/>
      <c r="AJ96" s="249"/>
      <c r="AK96" s="249"/>
      <c r="AL96" s="249"/>
      <c r="AM96" s="249"/>
      <c r="AN96" s="249"/>
      <c r="AO96" s="249"/>
    </row>
    <row r="97" spans="2:41" x14ac:dyDescent="0.35">
      <c r="B97" s="256"/>
      <c r="C97" s="256"/>
      <c r="D97" s="256"/>
      <c r="E97" s="256"/>
      <c r="F97" s="256"/>
      <c r="G97" s="256"/>
      <c r="H97" s="256"/>
      <c r="I97" s="256"/>
      <c r="J97" s="256"/>
      <c r="M97" s="250">
        <v>3995</v>
      </c>
      <c r="N97" s="251" t="str">
        <f t="shared" si="8"/>
        <v/>
      </c>
      <c r="O97" s="251" t="str">
        <f t="shared" si="9"/>
        <v/>
      </c>
      <c r="P97" s="251" t="str">
        <f t="shared" si="10"/>
        <v/>
      </c>
      <c r="Q97" s="251" t="str">
        <f t="shared" si="11"/>
        <v/>
      </c>
      <c r="R97" s="251" t="str">
        <f t="shared" si="12"/>
        <v/>
      </c>
      <c r="S97" s="252" t="str">
        <f t="shared" si="13"/>
        <v/>
      </c>
      <c r="T97" s="253"/>
      <c r="U97" s="254">
        <v>0.23400000000000001</v>
      </c>
      <c r="V97" s="254">
        <v>0.23300000000000001</v>
      </c>
      <c r="W97" s="254">
        <v>0.22</v>
      </c>
      <c r="X97" s="254">
        <v>0.20599999999999999</v>
      </c>
      <c r="Y97" s="254">
        <v>0.2</v>
      </c>
      <c r="Z97" s="254">
        <v>0.186</v>
      </c>
      <c r="AA97" s="249"/>
      <c r="AB97" s="255"/>
      <c r="AC97" s="255"/>
      <c r="AD97" s="255"/>
      <c r="AE97" s="255"/>
      <c r="AF97" s="255"/>
      <c r="AG97" s="255"/>
      <c r="AH97" s="249"/>
      <c r="AI97" s="249"/>
      <c r="AJ97" s="249"/>
      <c r="AK97" s="249"/>
      <c r="AL97" s="249"/>
      <c r="AM97" s="249"/>
      <c r="AN97" s="249"/>
      <c r="AO97" s="249"/>
    </row>
    <row r="98" spans="2:41" x14ac:dyDescent="0.35">
      <c r="B98" s="256"/>
      <c r="C98" s="256"/>
      <c r="D98" s="256"/>
      <c r="E98" s="256"/>
      <c r="F98" s="256"/>
      <c r="G98" s="256"/>
      <c r="H98" s="256"/>
      <c r="I98" s="256"/>
      <c r="J98" s="256"/>
      <c r="M98" s="250">
        <v>4333</v>
      </c>
      <c r="N98" s="251" t="str">
        <f t="shared" si="8"/>
        <v/>
      </c>
      <c r="O98" s="251" t="str">
        <f t="shared" si="9"/>
        <v/>
      </c>
      <c r="P98" s="251" t="str">
        <f t="shared" si="10"/>
        <v/>
      </c>
      <c r="Q98" s="251" t="str">
        <f t="shared" si="11"/>
        <v/>
      </c>
      <c r="R98" s="251" t="str">
        <f t="shared" si="12"/>
        <v/>
      </c>
      <c r="S98" s="252" t="str">
        <f t="shared" si="13"/>
        <v/>
      </c>
      <c r="T98" s="253"/>
      <c r="U98" s="254">
        <v>0.24399999999999999</v>
      </c>
      <c r="V98" s="254">
        <v>0.24299999999999999</v>
      </c>
      <c r="W98" s="254">
        <v>0.22900000000000001</v>
      </c>
      <c r="X98" s="254">
        <v>0.216</v>
      </c>
      <c r="Y98" s="254">
        <v>0.21199999999999999</v>
      </c>
      <c r="Z98" s="254">
        <v>0.20599999999999999</v>
      </c>
      <c r="AA98" s="249"/>
      <c r="AB98" s="255"/>
      <c r="AC98" s="255"/>
      <c r="AD98" s="255"/>
      <c r="AE98" s="255"/>
      <c r="AF98" s="255"/>
      <c r="AG98" s="255"/>
      <c r="AH98" s="249"/>
      <c r="AI98" s="249"/>
      <c r="AJ98" s="249"/>
      <c r="AK98" s="249"/>
      <c r="AL98" s="249"/>
      <c r="AM98" s="249"/>
      <c r="AN98" s="249"/>
      <c r="AO98" s="249"/>
    </row>
    <row r="99" spans="2:41" x14ac:dyDescent="0.35">
      <c r="B99" s="256"/>
      <c r="C99" s="256"/>
      <c r="D99" s="256"/>
      <c r="E99" s="256"/>
      <c r="F99" s="256"/>
      <c r="G99" s="256"/>
      <c r="H99" s="256"/>
      <c r="I99" s="256"/>
      <c r="J99" s="256"/>
      <c r="M99" s="250">
        <v>4739</v>
      </c>
      <c r="N99" s="251" t="str">
        <f t="shared" si="8"/>
        <v/>
      </c>
      <c r="O99" s="251" t="str">
        <f t="shared" si="9"/>
        <v/>
      </c>
      <c r="P99" s="251" t="str">
        <f t="shared" si="10"/>
        <v/>
      </c>
      <c r="Q99" s="251" t="str">
        <f t="shared" si="11"/>
        <v/>
      </c>
      <c r="R99" s="251" t="str">
        <f t="shared" si="12"/>
        <v/>
      </c>
      <c r="S99" s="252" t="str">
        <f t="shared" si="13"/>
        <v/>
      </c>
      <c r="T99" s="253"/>
      <c r="U99" s="254">
        <v>0.25900000000000001</v>
      </c>
      <c r="V99" s="254">
        <v>0.253</v>
      </c>
      <c r="W99" s="254">
        <v>0.23899999999999999</v>
      </c>
      <c r="X99" s="254">
        <v>0.22500000000000001</v>
      </c>
      <c r="Y99" s="254">
        <v>0.221</v>
      </c>
      <c r="Z99" s="254">
        <v>0.218</v>
      </c>
      <c r="AA99" s="249"/>
      <c r="AB99" s="255"/>
      <c r="AC99" s="255"/>
      <c r="AD99" s="255"/>
      <c r="AE99" s="255"/>
      <c r="AF99" s="255"/>
      <c r="AG99" s="255"/>
      <c r="AH99" s="249"/>
      <c r="AI99" s="249"/>
      <c r="AJ99" s="249"/>
      <c r="AK99" s="249"/>
      <c r="AL99" s="249"/>
      <c r="AM99" s="249"/>
      <c r="AN99" s="249"/>
      <c r="AO99" s="249"/>
    </row>
    <row r="100" spans="2:41" x14ac:dyDescent="0.35">
      <c r="B100" s="256"/>
      <c r="C100" s="256"/>
      <c r="D100" s="256"/>
      <c r="E100" s="256"/>
      <c r="F100" s="256"/>
      <c r="G100" s="256"/>
      <c r="H100" s="256"/>
      <c r="I100" s="256"/>
      <c r="J100" s="256"/>
      <c r="M100" s="250">
        <v>5224</v>
      </c>
      <c r="N100" s="251" t="str">
        <f t="shared" si="8"/>
        <v/>
      </c>
      <c r="O100" s="251" t="str">
        <f t="shared" si="9"/>
        <v/>
      </c>
      <c r="P100" s="251" t="str">
        <f t="shared" si="10"/>
        <v/>
      </c>
      <c r="Q100" s="251" t="str">
        <f t="shared" si="11"/>
        <v/>
      </c>
      <c r="R100" s="251" t="str">
        <f t="shared" si="12"/>
        <v/>
      </c>
      <c r="S100" s="252" t="str">
        <f t="shared" si="13"/>
        <v/>
      </c>
      <c r="T100" s="253"/>
      <c r="U100" s="254">
        <v>0.26900000000000002</v>
      </c>
      <c r="V100" s="254">
        <v>0.26300000000000001</v>
      </c>
      <c r="W100" s="254">
        <v>0.25900000000000001</v>
      </c>
      <c r="X100" s="254">
        <v>0.23499999999999999</v>
      </c>
      <c r="Y100" s="254">
        <v>0.23100000000000001</v>
      </c>
      <c r="Z100" s="254">
        <v>0.22700000000000001</v>
      </c>
      <c r="AA100" s="249"/>
      <c r="AB100" s="255"/>
      <c r="AC100" s="255"/>
      <c r="AD100" s="255"/>
      <c r="AE100" s="255"/>
      <c r="AF100" s="255"/>
      <c r="AG100" s="255"/>
      <c r="AH100" s="249"/>
      <c r="AI100" s="249"/>
      <c r="AJ100" s="249"/>
      <c r="AK100" s="249"/>
      <c r="AL100" s="249"/>
      <c r="AM100" s="249"/>
      <c r="AN100" s="249"/>
      <c r="AO100" s="249"/>
    </row>
    <row r="101" spans="2:41" x14ac:dyDescent="0.35">
      <c r="B101" s="256"/>
      <c r="C101" s="256"/>
      <c r="D101" s="256"/>
      <c r="E101" s="256"/>
      <c r="F101" s="256"/>
      <c r="G101" s="256"/>
      <c r="H101" s="256"/>
      <c r="I101" s="256"/>
      <c r="J101" s="256"/>
      <c r="M101" s="250">
        <v>5819</v>
      </c>
      <c r="N101" s="251" t="str">
        <f t="shared" si="8"/>
        <v/>
      </c>
      <c r="O101" s="251" t="str">
        <f t="shared" si="9"/>
        <v/>
      </c>
      <c r="P101" s="251" t="str">
        <f t="shared" si="10"/>
        <v/>
      </c>
      <c r="Q101" s="251" t="str">
        <f t="shared" si="11"/>
        <v/>
      </c>
      <c r="R101" s="251" t="str">
        <f t="shared" si="12"/>
        <v/>
      </c>
      <c r="S101" s="252" t="str">
        <f t="shared" si="13"/>
        <v/>
      </c>
      <c r="T101" s="253"/>
      <c r="U101" s="254">
        <v>0.27800000000000002</v>
      </c>
      <c r="V101" s="254">
        <v>0.27200000000000002</v>
      </c>
      <c r="W101" s="254">
        <v>0.26900000000000002</v>
      </c>
      <c r="X101" s="254">
        <v>0.245</v>
      </c>
      <c r="Y101" s="254">
        <v>0.24099999999999999</v>
      </c>
      <c r="Z101" s="254">
        <v>0.23699999999999999</v>
      </c>
      <c r="AA101" s="249"/>
      <c r="AB101" s="255"/>
      <c r="AC101" s="255"/>
      <c r="AD101" s="255"/>
      <c r="AE101" s="255"/>
      <c r="AF101" s="255"/>
      <c r="AG101" s="255"/>
      <c r="AH101" s="249"/>
      <c r="AI101" s="249"/>
      <c r="AJ101" s="249"/>
      <c r="AK101" s="249"/>
      <c r="AL101" s="249"/>
      <c r="AM101" s="249"/>
      <c r="AN101" s="249"/>
      <c r="AO101" s="249"/>
    </row>
    <row r="102" spans="2:41" x14ac:dyDescent="0.35">
      <c r="B102" s="256"/>
      <c r="C102" s="256"/>
      <c r="D102" s="256"/>
      <c r="E102" s="256"/>
      <c r="F102" s="256"/>
      <c r="G102" s="256"/>
      <c r="H102" s="256"/>
      <c r="I102" s="256"/>
      <c r="J102" s="256"/>
      <c r="M102" s="250">
        <v>6568</v>
      </c>
      <c r="N102" s="251" t="str">
        <f t="shared" si="8"/>
        <v/>
      </c>
      <c r="O102" s="251" t="str">
        <f t="shared" si="9"/>
        <v/>
      </c>
      <c r="P102" s="251" t="str">
        <f t="shared" si="10"/>
        <v/>
      </c>
      <c r="Q102" s="251" t="str">
        <f t="shared" si="11"/>
        <v/>
      </c>
      <c r="R102" s="251" t="str">
        <f t="shared" si="12"/>
        <v/>
      </c>
      <c r="S102" s="252" t="str">
        <f t="shared" si="13"/>
        <v/>
      </c>
      <c r="T102" s="253"/>
      <c r="U102" s="254">
        <v>0.28799999999999998</v>
      </c>
      <c r="V102" s="254">
        <v>0.28199999999999997</v>
      </c>
      <c r="W102" s="254">
        <v>0.27800000000000002</v>
      </c>
      <c r="X102" s="254">
        <v>0.255</v>
      </c>
      <c r="Y102" s="254">
        <v>0.251</v>
      </c>
      <c r="Z102" s="254">
        <v>0.247</v>
      </c>
      <c r="AA102" s="249"/>
      <c r="AB102" s="255"/>
      <c r="AC102" s="255"/>
      <c r="AD102" s="255"/>
      <c r="AE102" s="255"/>
      <c r="AF102" s="255"/>
      <c r="AG102" s="255"/>
      <c r="AH102" s="249"/>
      <c r="AI102" s="249"/>
      <c r="AJ102" s="249"/>
      <c r="AK102" s="249"/>
      <c r="AL102" s="249"/>
      <c r="AM102" s="249"/>
      <c r="AN102" s="249"/>
      <c r="AO102" s="249"/>
    </row>
    <row r="103" spans="2:41" x14ac:dyDescent="0.35">
      <c r="B103" s="256"/>
      <c r="C103" s="256"/>
      <c r="D103" s="256"/>
      <c r="E103" s="256"/>
      <c r="F103" s="256"/>
      <c r="G103" s="256"/>
      <c r="H103" s="256"/>
      <c r="I103" s="256"/>
      <c r="J103" s="256"/>
      <c r="M103" s="250">
        <v>7537</v>
      </c>
      <c r="N103" s="251" t="str">
        <f t="shared" si="8"/>
        <v/>
      </c>
      <c r="O103" s="251" t="str">
        <f t="shared" si="9"/>
        <v/>
      </c>
      <c r="P103" s="251" t="str">
        <f t="shared" si="10"/>
        <v/>
      </c>
      <c r="Q103" s="251" t="str">
        <f t="shared" si="11"/>
        <v/>
      </c>
      <c r="R103" s="251" t="str">
        <f t="shared" si="12"/>
        <v/>
      </c>
      <c r="S103" s="252" t="str">
        <f t="shared" si="13"/>
        <v/>
      </c>
      <c r="T103" s="253"/>
      <c r="U103" s="254">
        <v>0.29699999999999999</v>
      </c>
      <c r="V103" s="254">
        <v>0.29599999999999999</v>
      </c>
      <c r="W103" s="254">
        <v>0.29199999999999998</v>
      </c>
      <c r="X103" s="254">
        <v>0.27</v>
      </c>
      <c r="Y103" s="254">
        <v>0.26900000000000002</v>
      </c>
      <c r="Z103" s="254">
        <v>0.26700000000000002</v>
      </c>
      <c r="AA103" s="249"/>
      <c r="AB103" s="255"/>
      <c r="AC103" s="255"/>
      <c r="AD103" s="255"/>
      <c r="AE103" s="255"/>
      <c r="AF103" s="255"/>
      <c r="AG103" s="255"/>
      <c r="AH103" s="249"/>
      <c r="AI103" s="249"/>
      <c r="AJ103" s="249"/>
      <c r="AK103" s="249"/>
      <c r="AL103" s="249"/>
      <c r="AM103" s="249"/>
      <c r="AN103" s="249"/>
      <c r="AO103" s="249"/>
    </row>
    <row r="104" spans="2:41" x14ac:dyDescent="0.35">
      <c r="B104" s="256"/>
      <c r="C104" s="256"/>
      <c r="D104" s="256"/>
      <c r="E104" s="256"/>
      <c r="F104" s="256"/>
      <c r="G104" s="256"/>
      <c r="H104" s="256"/>
      <c r="I104" s="256"/>
      <c r="J104" s="256"/>
      <c r="M104" s="250">
        <v>8687</v>
      </c>
      <c r="N104" s="251" t="str">
        <f t="shared" si="8"/>
        <v/>
      </c>
      <c r="O104" s="251" t="str">
        <f t="shared" si="9"/>
        <v/>
      </c>
      <c r="P104" s="251" t="str">
        <f t="shared" si="10"/>
        <v/>
      </c>
      <c r="Q104" s="251" t="str">
        <f t="shared" si="11"/>
        <v/>
      </c>
      <c r="R104" s="251" t="str">
        <f t="shared" si="12"/>
        <v/>
      </c>
      <c r="S104" s="252" t="str">
        <f t="shared" si="13"/>
        <v/>
      </c>
      <c r="T104" s="253"/>
      <c r="U104" s="254">
        <v>0.307</v>
      </c>
      <c r="V104" s="254">
        <v>0.30599999999999999</v>
      </c>
      <c r="W104" s="254">
        <v>0.30399999999999999</v>
      </c>
      <c r="X104" s="254">
        <v>0.28999999999999998</v>
      </c>
      <c r="Y104" s="254">
        <v>0.27800000000000002</v>
      </c>
      <c r="Z104" s="254">
        <v>0.27600000000000002</v>
      </c>
      <c r="AA104" s="249"/>
      <c r="AB104" s="255"/>
      <c r="AC104" s="255"/>
      <c r="AD104" s="255"/>
      <c r="AE104" s="255"/>
      <c r="AF104" s="255"/>
      <c r="AG104" s="255"/>
      <c r="AH104" s="249"/>
      <c r="AI104" s="249"/>
      <c r="AJ104" s="249"/>
      <c r="AK104" s="249"/>
      <c r="AL104" s="249"/>
      <c r="AM104" s="249"/>
      <c r="AN104" s="249"/>
      <c r="AO104" s="249"/>
    </row>
    <row r="105" spans="2:41" x14ac:dyDescent="0.35">
      <c r="B105" s="256"/>
      <c r="C105" s="256"/>
      <c r="D105" s="256"/>
      <c r="E105" s="256"/>
      <c r="F105" s="256"/>
      <c r="G105" s="256"/>
      <c r="H105" s="256"/>
      <c r="I105" s="256"/>
      <c r="J105" s="256"/>
      <c r="M105" s="250">
        <v>9609</v>
      </c>
      <c r="N105" s="251" t="str">
        <f t="shared" si="8"/>
        <v/>
      </c>
      <c r="O105" s="251" t="str">
        <f t="shared" si="9"/>
        <v/>
      </c>
      <c r="P105" s="251" t="str">
        <f t="shared" si="10"/>
        <v/>
      </c>
      <c r="Q105" s="251" t="str">
        <f t="shared" si="11"/>
        <v/>
      </c>
      <c r="R105" s="251" t="str">
        <f t="shared" si="12"/>
        <v/>
      </c>
      <c r="S105" s="252" t="str">
        <f t="shared" si="13"/>
        <v/>
      </c>
      <c r="T105" s="253"/>
      <c r="U105" s="254">
        <v>0.32100000000000001</v>
      </c>
      <c r="V105" s="254">
        <v>0.32</v>
      </c>
      <c r="W105" s="254">
        <v>0.31900000000000001</v>
      </c>
      <c r="X105" s="254">
        <v>0.307</v>
      </c>
      <c r="Y105" s="254">
        <v>0.29299999999999998</v>
      </c>
      <c r="Z105" s="254">
        <v>0.29099999999999998</v>
      </c>
      <c r="AA105" s="249"/>
      <c r="AB105" s="255"/>
      <c r="AC105" s="255"/>
      <c r="AD105" s="255"/>
      <c r="AE105" s="255"/>
      <c r="AF105" s="255"/>
      <c r="AG105" s="255"/>
      <c r="AH105" s="249"/>
      <c r="AI105" s="249"/>
      <c r="AJ105" s="249"/>
      <c r="AK105" s="249"/>
      <c r="AL105" s="249"/>
      <c r="AM105" s="249"/>
      <c r="AN105" s="249"/>
      <c r="AO105" s="249"/>
    </row>
    <row r="106" spans="2:41" x14ac:dyDescent="0.35">
      <c r="B106" s="256"/>
      <c r="C106" s="256"/>
      <c r="D106" s="256"/>
      <c r="E106" s="256"/>
      <c r="F106" s="256"/>
      <c r="G106" s="256"/>
      <c r="H106" s="256"/>
      <c r="I106" s="256"/>
      <c r="J106" s="256"/>
      <c r="M106" s="250">
        <v>10754</v>
      </c>
      <c r="N106" s="251" t="str">
        <f t="shared" si="8"/>
        <v/>
      </c>
      <c r="O106" s="251" t="str">
        <f t="shared" si="9"/>
        <v/>
      </c>
      <c r="P106" s="251" t="str">
        <f t="shared" si="10"/>
        <v/>
      </c>
      <c r="Q106" s="251" t="str">
        <f t="shared" si="11"/>
        <v/>
      </c>
      <c r="R106" s="251" t="str">
        <f t="shared" si="12"/>
        <v/>
      </c>
      <c r="S106" s="252" t="str">
        <f t="shared" si="13"/>
        <v/>
      </c>
      <c r="T106" s="253"/>
      <c r="U106" s="254">
        <v>0.33100000000000002</v>
      </c>
      <c r="V106" s="254">
        <v>0.33</v>
      </c>
      <c r="W106" s="254">
        <v>0.32800000000000001</v>
      </c>
      <c r="X106" s="254">
        <v>0.317</v>
      </c>
      <c r="Y106" s="254">
        <v>0.315</v>
      </c>
      <c r="Z106" s="254">
        <v>0.3</v>
      </c>
      <c r="AA106" s="249"/>
      <c r="AB106" s="255"/>
      <c r="AC106" s="255"/>
      <c r="AD106" s="255"/>
      <c r="AE106" s="255"/>
      <c r="AF106" s="255"/>
      <c r="AG106" s="255"/>
      <c r="AH106" s="249"/>
      <c r="AI106" s="249"/>
      <c r="AJ106" s="249"/>
      <c r="AK106" s="249"/>
      <c r="AL106" s="249"/>
      <c r="AM106" s="249"/>
      <c r="AN106" s="249"/>
      <c r="AO106" s="249"/>
    </row>
    <row r="107" spans="2:41" x14ac:dyDescent="0.35">
      <c r="B107" s="256"/>
      <c r="C107" s="256"/>
      <c r="D107" s="256"/>
      <c r="E107" s="256"/>
      <c r="F107" s="256"/>
      <c r="G107" s="256"/>
      <c r="H107" s="256"/>
      <c r="I107" s="256"/>
      <c r="J107" s="256"/>
      <c r="M107" s="250">
        <v>14423</v>
      </c>
      <c r="N107" s="251" t="str">
        <f t="shared" si="8"/>
        <v/>
      </c>
      <c r="O107" s="251" t="str">
        <f t="shared" si="9"/>
        <v/>
      </c>
      <c r="P107" s="251" t="str">
        <f t="shared" si="10"/>
        <v/>
      </c>
      <c r="Q107" s="251" t="str">
        <f t="shared" si="11"/>
        <v/>
      </c>
      <c r="R107" s="251" t="str">
        <f t="shared" si="12"/>
        <v/>
      </c>
      <c r="S107" s="252" t="str">
        <f t="shared" si="13"/>
        <v/>
      </c>
      <c r="T107" s="253"/>
      <c r="U107" s="254">
        <v>0.34399999999999997</v>
      </c>
      <c r="V107" s="254">
        <v>0.34300000000000003</v>
      </c>
      <c r="W107" s="254">
        <v>0.33800000000000002</v>
      </c>
      <c r="X107" s="254">
        <v>0.32600000000000001</v>
      </c>
      <c r="Y107" s="254">
        <v>0.32400000000000001</v>
      </c>
      <c r="Z107" s="254">
        <v>0.313</v>
      </c>
      <c r="AA107" s="249"/>
      <c r="AB107" s="255"/>
      <c r="AC107" s="255"/>
      <c r="AD107" s="255"/>
      <c r="AE107" s="255"/>
      <c r="AF107" s="255"/>
      <c r="AG107" s="255"/>
      <c r="AH107" s="249"/>
      <c r="AI107" s="249"/>
      <c r="AJ107" s="249"/>
      <c r="AK107" s="249"/>
      <c r="AL107" s="249"/>
      <c r="AM107" s="249"/>
      <c r="AN107" s="249"/>
      <c r="AO107" s="249"/>
    </row>
    <row r="108" spans="2:41" x14ac:dyDescent="0.35">
      <c r="B108" s="256"/>
      <c r="C108" s="256"/>
      <c r="D108" s="256"/>
      <c r="E108" s="256"/>
      <c r="F108" s="256"/>
      <c r="G108" s="256"/>
      <c r="H108" s="256"/>
      <c r="I108" s="256"/>
      <c r="J108" s="256"/>
      <c r="M108" s="250">
        <v>20706</v>
      </c>
      <c r="N108" s="251" t="str">
        <f t="shared" si="8"/>
        <v/>
      </c>
      <c r="O108" s="251" t="str">
        <f t="shared" si="9"/>
        <v/>
      </c>
      <c r="P108" s="251" t="str">
        <f t="shared" si="10"/>
        <v/>
      </c>
      <c r="Q108" s="251" t="str">
        <f t="shared" si="11"/>
        <v/>
      </c>
      <c r="R108" s="251" t="str">
        <f t="shared" si="12"/>
        <v/>
      </c>
      <c r="S108" s="252" t="str">
        <f t="shared" si="13"/>
        <v/>
      </c>
      <c r="T108" s="253"/>
      <c r="U108" s="254">
        <v>0.36399999999999999</v>
      </c>
      <c r="V108" s="254">
        <v>0.36299999999999999</v>
      </c>
      <c r="W108" s="254">
        <v>0.36199999999999999</v>
      </c>
      <c r="X108" s="254">
        <v>0.35099999999999998</v>
      </c>
      <c r="Y108" s="254">
        <v>0.34899999999999998</v>
      </c>
      <c r="Z108" s="254">
        <v>0.33700000000000002</v>
      </c>
      <c r="AA108" s="249"/>
      <c r="AB108" s="255"/>
      <c r="AC108" s="255"/>
      <c r="AD108" s="255"/>
      <c r="AE108" s="255"/>
      <c r="AF108" s="255"/>
      <c r="AG108" s="255"/>
      <c r="AH108" s="249"/>
      <c r="AI108" s="249"/>
      <c r="AJ108" s="249"/>
      <c r="AK108" s="249"/>
      <c r="AL108" s="249"/>
      <c r="AM108" s="249"/>
      <c r="AN108" s="249"/>
      <c r="AO108" s="249"/>
    </row>
    <row r="109" spans="2:41" x14ac:dyDescent="0.35">
      <c r="B109" s="256"/>
      <c r="C109" s="256"/>
      <c r="D109" s="256"/>
      <c r="E109" s="256"/>
      <c r="F109" s="256"/>
      <c r="G109" s="256"/>
      <c r="H109" s="256"/>
      <c r="I109" s="256"/>
      <c r="J109" s="256"/>
      <c r="M109" s="250">
        <v>23413</v>
      </c>
      <c r="N109" s="251" t="str">
        <f t="shared" si="8"/>
        <v/>
      </c>
      <c r="O109" s="251" t="str">
        <f t="shared" si="9"/>
        <v/>
      </c>
      <c r="P109" s="251" t="str">
        <f t="shared" si="10"/>
        <v/>
      </c>
      <c r="Q109" s="251" t="str">
        <f t="shared" si="11"/>
        <v/>
      </c>
      <c r="R109" s="251" t="str">
        <f t="shared" si="12"/>
        <v/>
      </c>
      <c r="S109" s="252" t="str">
        <f t="shared" si="13"/>
        <v/>
      </c>
      <c r="T109" s="253"/>
      <c r="U109" s="254">
        <v>0.373</v>
      </c>
      <c r="V109" s="254">
        <v>0.372</v>
      </c>
      <c r="W109" s="254">
        <v>0.371</v>
      </c>
      <c r="X109" s="254">
        <v>0.36499999999999999</v>
      </c>
      <c r="Y109" s="254">
        <v>0.35899999999999999</v>
      </c>
      <c r="Z109" s="254">
        <v>0.34699999999999998</v>
      </c>
      <c r="AA109" s="249"/>
      <c r="AB109" s="255"/>
      <c r="AC109" s="255"/>
      <c r="AD109" s="255"/>
      <c r="AE109" s="255"/>
      <c r="AF109" s="255"/>
      <c r="AG109" s="255"/>
      <c r="AH109" s="249"/>
      <c r="AI109" s="249"/>
      <c r="AJ109" s="249"/>
      <c r="AK109" s="249"/>
      <c r="AL109" s="249"/>
      <c r="AM109" s="249"/>
      <c r="AN109" s="249"/>
      <c r="AO109" s="249"/>
    </row>
    <row r="110" spans="2:41" x14ac:dyDescent="0.35">
      <c r="B110" s="256"/>
      <c r="C110" s="256"/>
      <c r="D110" s="256"/>
      <c r="E110" s="256"/>
      <c r="F110" s="256"/>
      <c r="G110" s="256"/>
      <c r="H110" s="256"/>
      <c r="I110" s="256"/>
      <c r="J110" s="256"/>
      <c r="M110" s="250">
        <v>26014</v>
      </c>
      <c r="N110" s="251" t="str">
        <f t="shared" si="8"/>
        <v/>
      </c>
      <c r="O110" s="251" t="str">
        <f t="shared" si="9"/>
        <v/>
      </c>
      <c r="P110" s="251" t="str">
        <f t="shared" si="10"/>
        <v/>
      </c>
      <c r="Q110" s="251" t="str">
        <f t="shared" si="11"/>
        <v/>
      </c>
      <c r="R110" s="251" t="str">
        <f t="shared" si="12"/>
        <v/>
      </c>
      <c r="S110" s="252" t="str">
        <f t="shared" si="13"/>
        <v/>
      </c>
      <c r="T110" s="253"/>
      <c r="U110" s="254">
        <v>0.38300000000000001</v>
      </c>
      <c r="V110" s="254">
        <v>0.38200000000000001</v>
      </c>
      <c r="W110" s="254">
        <v>0.38100000000000001</v>
      </c>
      <c r="X110" s="254">
        <v>0.374</v>
      </c>
      <c r="Y110" s="254">
        <v>0.372</v>
      </c>
      <c r="Z110" s="254">
        <v>0.35699999999999998</v>
      </c>
      <c r="AA110" s="249"/>
      <c r="AB110" s="255"/>
      <c r="AC110" s="255"/>
      <c r="AD110" s="255"/>
      <c r="AE110" s="255"/>
      <c r="AF110" s="255"/>
      <c r="AG110" s="255"/>
      <c r="AH110" s="249"/>
      <c r="AI110" s="249"/>
      <c r="AJ110" s="249"/>
      <c r="AK110" s="249"/>
      <c r="AL110" s="249"/>
      <c r="AM110" s="249"/>
      <c r="AN110" s="249"/>
      <c r="AO110" s="249"/>
    </row>
    <row r="111" spans="2:41" x14ac:dyDescent="0.35">
      <c r="B111" s="256"/>
      <c r="C111" s="256"/>
      <c r="D111" s="256"/>
      <c r="E111" s="256"/>
      <c r="F111" s="256"/>
      <c r="G111" s="256"/>
      <c r="H111" s="256"/>
      <c r="I111" s="256"/>
      <c r="J111" s="256"/>
      <c r="M111" s="250">
        <v>29135</v>
      </c>
      <c r="N111" s="251" t="str">
        <f t="shared" si="8"/>
        <v/>
      </c>
      <c r="O111" s="251" t="str">
        <f t="shared" si="9"/>
        <v/>
      </c>
      <c r="P111" s="251" t="str">
        <f t="shared" si="10"/>
        <v/>
      </c>
      <c r="Q111" s="251" t="str">
        <f t="shared" si="11"/>
        <v/>
      </c>
      <c r="R111" s="251" t="str">
        <f t="shared" si="12"/>
        <v/>
      </c>
      <c r="S111" s="252" t="str">
        <f t="shared" si="13"/>
        <v/>
      </c>
      <c r="T111" s="253"/>
      <c r="U111" s="254">
        <v>0.39300000000000002</v>
      </c>
      <c r="V111" s="254">
        <v>0.39200000000000002</v>
      </c>
      <c r="W111" s="254">
        <v>0.39100000000000001</v>
      </c>
      <c r="X111" s="254">
        <v>0.38400000000000001</v>
      </c>
      <c r="Y111" s="254">
        <v>0.38200000000000001</v>
      </c>
      <c r="Z111" s="254">
        <v>0.37</v>
      </c>
      <c r="AA111" s="249"/>
      <c r="AB111" s="255"/>
      <c r="AC111" s="255"/>
      <c r="AD111" s="255"/>
      <c r="AE111" s="255"/>
      <c r="AF111" s="255"/>
      <c r="AG111" s="255"/>
      <c r="AH111" s="249"/>
      <c r="AI111" s="249"/>
      <c r="AJ111" s="249"/>
      <c r="AK111" s="249"/>
      <c r="AL111" s="249"/>
      <c r="AM111" s="249"/>
      <c r="AN111" s="249"/>
      <c r="AO111" s="249"/>
    </row>
    <row r="112" spans="2:41" x14ac:dyDescent="0.35">
      <c r="B112" s="256"/>
      <c r="C112" s="256"/>
      <c r="D112" s="256"/>
      <c r="E112" s="256"/>
      <c r="F112" s="256"/>
      <c r="G112" s="256"/>
      <c r="H112" s="256"/>
      <c r="I112" s="256"/>
      <c r="J112" s="256"/>
      <c r="M112" s="250">
        <v>29135</v>
      </c>
      <c r="N112" s="251" t="str">
        <f t="shared" si="8"/>
        <v/>
      </c>
      <c r="O112" s="251" t="str">
        <f t="shared" si="9"/>
        <v/>
      </c>
      <c r="P112" s="251" t="str">
        <f t="shared" si="10"/>
        <v/>
      </c>
      <c r="Q112" s="251" t="str">
        <f t="shared" si="11"/>
        <v/>
      </c>
      <c r="R112" s="251" t="str">
        <f t="shared" si="12"/>
        <v/>
      </c>
      <c r="S112" s="252" t="str">
        <f t="shared" si="13"/>
        <v/>
      </c>
      <c r="T112" s="253"/>
      <c r="U112" s="254">
        <v>0.40300000000000002</v>
      </c>
      <c r="V112" s="254">
        <v>0.40200000000000002</v>
      </c>
      <c r="W112" s="254">
        <v>0.40100000000000002</v>
      </c>
      <c r="X112" s="254">
        <v>0.39400000000000002</v>
      </c>
      <c r="Y112" s="254">
        <v>0.39200000000000002</v>
      </c>
      <c r="Z112" s="254">
        <v>0.38</v>
      </c>
      <c r="AA112" s="249"/>
      <c r="AB112" s="255"/>
      <c r="AC112" s="255"/>
      <c r="AD112" s="255"/>
      <c r="AE112" s="255"/>
      <c r="AF112" s="255"/>
      <c r="AG112" s="255"/>
      <c r="AH112" s="249"/>
      <c r="AI112" s="249"/>
      <c r="AJ112" s="249"/>
      <c r="AK112" s="249"/>
      <c r="AL112" s="249"/>
      <c r="AM112" s="249"/>
      <c r="AN112" s="249"/>
      <c r="AO112" s="249"/>
    </row>
    <row r="113" spans="2:41" x14ac:dyDescent="0.35">
      <c r="B113" s="256"/>
      <c r="C113" s="256"/>
      <c r="D113" s="256"/>
      <c r="E113" s="256"/>
      <c r="F113" s="256"/>
      <c r="G113" s="256"/>
      <c r="H113" s="256"/>
      <c r="I113" s="256"/>
      <c r="J113" s="256"/>
      <c r="M113" s="250">
        <v>28309</v>
      </c>
      <c r="N113" s="251" t="str">
        <f>IF($R$11&gt;=M112+0.01,U113,"")</f>
        <v/>
      </c>
      <c r="O113" s="251" t="str">
        <f>IF($R$11&gt;=M112,V113,"")</f>
        <v/>
      </c>
      <c r="P113" s="251" t="str">
        <f>IF($R$11&gt;=M112,W113,"")</f>
        <v/>
      </c>
      <c r="Q113" s="251" t="str">
        <f>IF($R$11&gt;=M112,X113,"")</f>
        <v/>
      </c>
      <c r="R113" s="252" t="str">
        <f>IF($R$11&gt;=M112,Y113,"")</f>
        <v/>
      </c>
      <c r="S113" s="251" t="str">
        <f>IF($R$11&gt;=M112,Z113,"")</f>
        <v/>
      </c>
      <c r="T113" s="253"/>
      <c r="U113" s="254">
        <v>0.40300000000000002</v>
      </c>
      <c r="V113" s="254">
        <v>0.40200000000000002</v>
      </c>
      <c r="W113" s="254">
        <v>0.40100000000000002</v>
      </c>
      <c r="X113" s="254">
        <v>0.39400000000000002</v>
      </c>
      <c r="Y113" s="254">
        <v>0.39200000000000002</v>
      </c>
      <c r="Z113" s="254">
        <v>0.38</v>
      </c>
      <c r="AA113" s="249"/>
      <c r="AB113" s="255"/>
      <c r="AC113" s="255"/>
      <c r="AD113" s="255"/>
      <c r="AE113" s="255"/>
      <c r="AF113" s="255"/>
      <c r="AG113" s="255"/>
      <c r="AH113" s="249"/>
      <c r="AI113" s="249"/>
      <c r="AJ113" s="249"/>
      <c r="AK113" s="249"/>
      <c r="AL113" s="249"/>
      <c r="AM113" s="249"/>
      <c r="AN113" s="249"/>
      <c r="AO113" s="249"/>
    </row>
    <row r="114" spans="2:41" x14ac:dyDescent="0.35">
      <c r="B114" s="256"/>
      <c r="C114" s="256"/>
      <c r="D114" s="256"/>
      <c r="E114" s="256"/>
      <c r="F114" s="256"/>
      <c r="G114" s="256"/>
      <c r="H114" s="256"/>
      <c r="I114" s="256"/>
      <c r="J114" s="256"/>
      <c r="M114" s="249"/>
      <c r="N114" s="257" t="str">
        <f>IF($A$15=1,IF($A$2=2,IF($I$2=0,SUM(N77:N113),""),""),"")</f>
        <v/>
      </c>
      <c r="O114" s="258" t="str">
        <f>IF($A$15=1,IF($A$2=2,IF($I$2=1,SUM(O77:O113),""),""),"")</f>
        <v/>
      </c>
      <c r="P114" s="258" t="str">
        <f>IF($A$15=1,IF($A$2=2,IF($I$2=2,SUM(P77:P113),""),""),"")</f>
        <v/>
      </c>
      <c r="Q114" s="258" t="str">
        <f>IF($A$15=1,IF($A$2=2,IF($I$2=3,SUM(Q77:Q113),""),""),"")</f>
        <v/>
      </c>
      <c r="R114" s="258" t="str">
        <f>IF($A$15=1,IF($A$2=2,IF($I$2=4,SUM(R77:R113),""),""),"")</f>
        <v/>
      </c>
      <c r="S114" s="259" t="str">
        <f>IF($A$15=1,IF($A$2=2,IF($I$2=5,SUM(S77:S113),""),""),"")</f>
        <v/>
      </c>
      <c r="T114" s="260">
        <f>SUM(N114:S114)</f>
        <v>0</v>
      </c>
      <c r="U114" s="253"/>
      <c r="V114" s="253"/>
      <c r="W114" s="253"/>
      <c r="X114" s="253"/>
      <c r="Y114" s="253"/>
      <c r="Z114" s="253"/>
      <c r="AA114" s="249"/>
      <c r="AB114" s="255"/>
      <c r="AC114" s="255"/>
      <c r="AD114" s="255"/>
      <c r="AE114" s="255"/>
      <c r="AF114" s="255"/>
      <c r="AG114" s="255"/>
      <c r="AH114" s="249"/>
      <c r="AI114" s="249"/>
      <c r="AJ114" s="249"/>
      <c r="AK114" s="249"/>
      <c r="AL114" s="249"/>
      <c r="AM114" s="249"/>
      <c r="AN114" s="249"/>
      <c r="AO114" s="249"/>
    </row>
    <row r="115" spans="2:41" x14ac:dyDescent="0.35">
      <c r="B115" s="256"/>
      <c r="C115" s="256"/>
      <c r="D115" s="256"/>
      <c r="E115" s="256"/>
      <c r="F115" s="256"/>
      <c r="G115" s="256"/>
      <c r="H115" s="256"/>
      <c r="I115" s="256"/>
      <c r="J115" s="256"/>
      <c r="M115" s="249"/>
      <c r="N115" s="249"/>
      <c r="O115" s="249"/>
      <c r="P115" s="261"/>
      <c r="Q115" s="261"/>
      <c r="R115" s="261"/>
      <c r="S115" s="249"/>
      <c r="T115" s="253"/>
      <c r="U115" s="253"/>
      <c r="V115" s="253"/>
      <c r="W115" s="253"/>
      <c r="X115" s="253"/>
      <c r="Y115" s="253"/>
      <c r="Z115" s="253"/>
      <c r="AA115" s="249"/>
      <c r="AB115" s="249"/>
      <c r="AC115" s="249"/>
      <c r="AD115" s="249"/>
      <c r="AE115" s="249"/>
      <c r="AF115" s="249"/>
      <c r="AG115" s="249"/>
      <c r="AH115" s="249"/>
      <c r="AI115" s="249"/>
      <c r="AJ115" s="249"/>
      <c r="AK115" s="249"/>
      <c r="AL115" s="249"/>
      <c r="AM115" s="249"/>
      <c r="AN115" s="249"/>
      <c r="AO115" s="249"/>
    </row>
    <row r="116" spans="2:41" x14ac:dyDescent="0.35">
      <c r="B116" s="256"/>
      <c r="C116" s="256"/>
      <c r="D116" s="256"/>
      <c r="E116" s="256"/>
      <c r="F116" s="256"/>
      <c r="G116" s="256"/>
      <c r="H116" s="256"/>
      <c r="I116" s="256"/>
      <c r="J116" s="256"/>
      <c r="M116" s="262"/>
      <c r="N116" s="249"/>
      <c r="O116" s="249"/>
      <c r="P116" s="249"/>
      <c r="Q116" s="249"/>
      <c r="R116" s="249"/>
      <c r="S116" s="249"/>
      <c r="T116" s="253"/>
      <c r="U116" s="253"/>
      <c r="V116" s="253"/>
      <c r="W116" s="253"/>
      <c r="X116" s="253"/>
      <c r="Y116" s="253"/>
      <c r="Z116" s="253"/>
      <c r="AA116" s="249"/>
      <c r="AB116" s="249"/>
      <c r="AC116" s="249"/>
      <c r="AD116" s="249"/>
      <c r="AE116" s="249"/>
      <c r="AF116" s="249"/>
      <c r="AG116" s="249"/>
      <c r="AH116" s="249"/>
      <c r="AI116" s="249"/>
      <c r="AJ116" s="249"/>
      <c r="AK116" s="249"/>
      <c r="AL116" s="249"/>
      <c r="AM116" s="249"/>
      <c r="AN116" s="249"/>
      <c r="AO116" s="249"/>
    </row>
    <row r="117" spans="2:41" x14ac:dyDescent="0.35">
      <c r="B117" s="256"/>
      <c r="C117" s="256"/>
      <c r="D117" s="256"/>
      <c r="E117" s="256"/>
      <c r="F117" s="256"/>
      <c r="G117" s="256"/>
      <c r="H117" s="256"/>
      <c r="I117" s="256"/>
      <c r="J117" s="256"/>
      <c r="M117" s="249"/>
      <c r="N117" s="249"/>
      <c r="O117" s="249"/>
      <c r="P117" s="249"/>
      <c r="Q117" s="249"/>
      <c r="R117" s="249"/>
      <c r="S117" s="249"/>
      <c r="T117" s="253"/>
      <c r="U117" s="253"/>
      <c r="V117" s="253"/>
      <c r="W117" s="253"/>
      <c r="X117" s="253"/>
      <c r="Y117" s="253"/>
      <c r="Z117" s="253"/>
      <c r="AA117" s="249"/>
      <c r="AB117" s="249"/>
      <c r="AC117" s="249"/>
      <c r="AD117" s="249"/>
      <c r="AE117" s="249"/>
      <c r="AF117" s="249"/>
      <c r="AG117" s="249"/>
      <c r="AH117" s="249"/>
      <c r="AI117" s="249"/>
      <c r="AJ117" s="249"/>
      <c r="AK117" s="249"/>
      <c r="AL117" s="249"/>
      <c r="AM117" s="249"/>
      <c r="AN117" s="249"/>
      <c r="AO117" s="249"/>
    </row>
    <row r="118" spans="2:41" x14ac:dyDescent="0.35">
      <c r="B118" s="256"/>
      <c r="C118" s="256"/>
      <c r="D118" s="256"/>
      <c r="E118" s="256"/>
      <c r="F118" s="256"/>
      <c r="G118" s="256"/>
      <c r="H118" s="256"/>
      <c r="I118" s="256"/>
      <c r="J118" s="256"/>
      <c r="M118" s="263" t="s">
        <v>254</v>
      </c>
      <c r="N118" s="264"/>
      <c r="O118" s="263" t="s">
        <v>255</v>
      </c>
      <c r="P118" s="264"/>
      <c r="Q118" s="264"/>
      <c r="R118" s="264"/>
      <c r="S118" s="249"/>
      <c r="T118" s="253"/>
      <c r="U118" s="265" t="str">
        <f>O118</f>
        <v>Tabelas de IRS de retenção na fonte referente a 2023 no Continente</v>
      </c>
      <c r="V118" s="253"/>
      <c r="W118" s="253"/>
      <c r="X118" s="253"/>
      <c r="Y118" s="253"/>
      <c r="Z118" s="253"/>
      <c r="AA118" s="249"/>
      <c r="AB118" s="249"/>
      <c r="AC118" s="249"/>
      <c r="AD118" s="249"/>
      <c r="AE118" s="249"/>
      <c r="AF118" s="249"/>
      <c r="AG118" s="249"/>
      <c r="AH118" s="249"/>
      <c r="AI118" s="249"/>
      <c r="AJ118" s="249"/>
      <c r="AK118" s="249"/>
      <c r="AL118" s="249"/>
      <c r="AM118" s="249"/>
      <c r="AN118" s="249"/>
      <c r="AO118" s="249"/>
    </row>
    <row r="119" spans="2:41" x14ac:dyDescent="0.35">
      <c r="B119" s="256"/>
      <c r="C119" s="256"/>
      <c r="D119" s="256"/>
      <c r="E119" s="256"/>
      <c r="F119" s="256"/>
      <c r="G119" s="256"/>
      <c r="H119" s="256"/>
      <c r="I119" s="256"/>
      <c r="J119" s="256"/>
      <c r="M119" s="249"/>
      <c r="N119" s="264"/>
      <c r="O119" s="263" t="s">
        <v>179</v>
      </c>
      <c r="P119" s="249"/>
      <c r="Q119" s="264"/>
      <c r="R119" s="264"/>
      <c r="S119" s="249"/>
      <c r="T119" s="253"/>
      <c r="U119" s="265" t="str">
        <f>O119</f>
        <v>T A B E L A  III - TRABALHO DEPENDENTE</v>
      </c>
      <c r="V119" s="253"/>
      <c r="W119" s="253"/>
      <c r="X119" s="253"/>
      <c r="Y119" s="253"/>
      <c r="Z119" s="253"/>
      <c r="AA119" s="249"/>
      <c r="AB119" s="249"/>
      <c r="AC119" s="249"/>
      <c r="AD119" s="249"/>
      <c r="AE119" s="249"/>
      <c r="AF119" s="249"/>
      <c r="AG119" s="249"/>
      <c r="AH119" s="249"/>
      <c r="AI119" s="249"/>
      <c r="AJ119" s="249"/>
      <c r="AK119" s="249"/>
      <c r="AL119" s="249"/>
      <c r="AM119" s="249"/>
      <c r="AN119" s="249"/>
      <c r="AO119" s="249"/>
    </row>
    <row r="120" spans="2:41" x14ac:dyDescent="0.35">
      <c r="B120" s="256"/>
      <c r="C120" s="256"/>
      <c r="D120" s="256"/>
      <c r="E120" s="256"/>
      <c r="F120" s="256"/>
      <c r="G120" s="256"/>
      <c r="H120" s="256"/>
      <c r="I120" s="256"/>
      <c r="J120" s="256"/>
      <c r="M120" s="266"/>
      <c r="N120" s="264"/>
      <c r="O120" s="263" t="s">
        <v>180</v>
      </c>
      <c r="P120" s="249"/>
      <c r="Q120" s="264"/>
      <c r="R120" s="264"/>
      <c r="S120" s="249"/>
      <c r="T120" s="253"/>
      <c r="U120" s="265" t="str">
        <f>O120</f>
        <v>CASADO DOIS TITULARES</v>
      </c>
      <c r="V120" s="253"/>
      <c r="W120" s="253"/>
      <c r="X120" s="253"/>
      <c r="Y120" s="253"/>
      <c r="Z120" s="253"/>
      <c r="AA120" s="249"/>
      <c r="AB120" s="249"/>
      <c r="AC120" s="249"/>
      <c r="AD120" s="249"/>
      <c r="AE120" s="249"/>
      <c r="AF120" s="249"/>
      <c r="AG120" s="249"/>
      <c r="AH120" s="249"/>
      <c r="AI120" s="249"/>
      <c r="AJ120" s="249"/>
      <c r="AK120" s="249"/>
      <c r="AL120" s="249"/>
      <c r="AM120" s="249"/>
      <c r="AN120" s="249"/>
      <c r="AO120" s="249"/>
    </row>
    <row r="121" spans="2:41" x14ac:dyDescent="0.35">
      <c r="B121" s="256"/>
      <c r="C121" s="256"/>
      <c r="D121" s="256"/>
      <c r="E121" s="256"/>
      <c r="F121" s="256"/>
      <c r="G121" s="256"/>
      <c r="H121" s="256"/>
      <c r="I121" s="256"/>
      <c r="J121" s="256"/>
      <c r="M121" s="267" t="s">
        <v>154</v>
      </c>
      <c r="N121" s="268" t="s">
        <v>155</v>
      </c>
      <c r="O121" s="268" t="s">
        <v>156</v>
      </c>
      <c r="P121" s="268" t="s">
        <v>157</v>
      </c>
      <c r="Q121" s="268" t="s">
        <v>158</v>
      </c>
      <c r="R121" s="268" t="s">
        <v>159</v>
      </c>
      <c r="S121" s="268" t="s">
        <v>160</v>
      </c>
      <c r="T121" s="253"/>
      <c r="U121" s="269" t="str">
        <f t="shared" ref="U121:Z121" si="14">N121</f>
        <v>0 dep</v>
      </c>
      <c r="V121" s="269" t="str">
        <f t="shared" si="14"/>
        <v>1 dep</v>
      </c>
      <c r="W121" s="269" t="str">
        <f t="shared" si="14"/>
        <v>2 dep</v>
      </c>
      <c r="X121" s="269" t="str">
        <f t="shared" si="14"/>
        <v>3 dep</v>
      </c>
      <c r="Y121" s="269" t="str">
        <f t="shared" si="14"/>
        <v>4 dep</v>
      </c>
      <c r="Z121" s="269" t="str">
        <f t="shared" si="14"/>
        <v>5 dep. ou +</v>
      </c>
      <c r="AA121" s="249"/>
      <c r="AB121" s="249"/>
      <c r="AC121" s="249"/>
      <c r="AD121" s="249"/>
      <c r="AE121" s="249"/>
      <c r="AF121" s="249"/>
      <c r="AG121" s="249"/>
      <c r="AH121" s="249"/>
      <c r="AI121" s="249"/>
      <c r="AJ121" s="249"/>
      <c r="AK121" s="249"/>
      <c r="AL121" s="249"/>
      <c r="AM121" s="249"/>
      <c r="AN121" s="249"/>
      <c r="AO121" s="249"/>
    </row>
    <row r="122" spans="2:41" x14ac:dyDescent="0.35">
      <c r="B122" s="256"/>
      <c r="C122" s="256"/>
      <c r="D122" s="256"/>
      <c r="E122" s="256"/>
      <c r="F122" s="256"/>
      <c r="G122" s="256"/>
      <c r="H122" s="256"/>
      <c r="I122" s="256"/>
      <c r="J122" s="256"/>
      <c r="M122" s="250">
        <v>762</v>
      </c>
      <c r="N122" s="251" t="str">
        <f>IF($R$11&lt;=M122,IF($R$11&gt;=0,0,""),"")</f>
        <v/>
      </c>
      <c r="O122" s="251" t="str">
        <f>IF($R$11&lt;=M122,IF($R$11&gt;=0,0,""),"")</f>
        <v/>
      </c>
      <c r="P122" s="251" t="str">
        <f>IF($R$11&lt;=M122,IF($R$11&gt;=0,0,""),"")</f>
        <v/>
      </c>
      <c r="Q122" s="251" t="str">
        <f>IF($R$11&lt;=M122,IF($R$11&gt;=0,0,""),"")</f>
        <v/>
      </c>
      <c r="R122" s="251" t="str">
        <f>IF($R$11&lt;=M122,IF($R$11&gt;=0,0,""),"")</f>
        <v/>
      </c>
      <c r="S122" s="251" t="str">
        <f>IF($R$11&lt;=M122,IF($R$11&gt;=0,0,""),"")</f>
        <v/>
      </c>
      <c r="T122" s="253"/>
      <c r="U122" s="254">
        <v>0</v>
      </c>
      <c r="V122" s="254">
        <v>0</v>
      </c>
      <c r="W122" s="254">
        <v>0</v>
      </c>
      <c r="X122" s="254">
        <v>0</v>
      </c>
      <c r="Y122" s="254">
        <v>0</v>
      </c>
      <c r="Z122" s="254">
        <v>0</v>
      </c>
      <c r="AA122" s="249"/>
      <c r="AB122" s="249"/>
      <c r="AC122" s="249"/>
      <c r="AD122" s="249"/>
      <c r="AE122" s="249"/>
      <c r="AF122" s="249"/>
      <c r="AG122" s="249"/>
      <c r="AH122" s="249"/>
      <c r="AI122" s="249"/>
      <c r="AJ122" s="249"/>
      <c r="AK122" s="249"/>
      <c r="AL122" s="249"/>
      <c r="AM122" s="249"/>
      <c r="AN122" s="249"/>
      <c r="AO122" s="249"/>
    </row>
    <row r="123" spans="2:41" x14ac:dyDescent="0.35">
      <c r="B123" s="256"/>
      <c r="C123" s="256"/>
      <c r="D123" s="256"/>
      <c r="E123" s="256"/>
      <c r="F123" s="256"/>
      <c r="G123" s="256"/>
      <c r="H123" s="256"/>
      <c r="I123" s="256"/>
      <c r="J123" s="256"/>
      <c r="M123" s="249">
        <v>766</v>
      </c>
      <c r="N123" s="251" t="str">
        <f t="shared" ref="N123:N158" si="15">IF($R$11&lt;=M123,IF($R$11&gt;=M122+0.01,U123,""),"")</f>
        <v/>
      </c>
      <c r="O123" s="251" t="str">
        <f t="shared" ref="O123:O158" si="16">IF($R$11&lt;=M123,IF($R$11&gt;=M122+0.01,V123,""),"")</f>
        <v/>
      </c>
      <c r="P123" s="251" t="str">
        <f t="shared" ref="P123:P158" si="17">IF($R$11&lt;=M123,IF($R$11&gt;=M122+0.01,W123,""),"")</f>
        <v/>
      </c>
      <c r="Q123" s="251" t="str">
        <f t="shared" ref="Q123:Q158" si="18">IF($R$11&lt;=M123,IF($R$11&gt;=M122+0.01,X123,""),"")</f>
        <v/>
      </c>
      <c r="R123" s="251" t="str">
        <f t="shared" ref="R123:R158" si="19">IF($R$11&lt;=M123,IF($R$11&gt;=M122+0.01,Y123,""),"")</f>
        <v/>
      </c>
      <c r="S123" s="252" t="str">
        <f t="shared" ref="S123:S158" si="20">IF($R$11&lt;=M123,IF($R$11&gt;=M122+0.01,Z123,""),"")</f>
        <v/>
      </c>
      <c r="T123" s="253"/>
      <c r="U123" s="254">
        <v>2.5000000000000001E-2</v>
      </c>
      <c r="V123" s="254">
        <v>1.7999999999999999E-2</v>
      </c>
      <c r="W123" s="254">
        <v>4.0000000000000001E-3</v>
      </c>
      <c r="X123" s="254">
        <v>0</v>
      </c>
      <c r="Y123" s="254">
        <v>0</v>
      </c>
      <c r="Z123" s="254">
        <v>0</v>
      </c>
      <c r="AA123" s="249"/>
      <c r="AB123" s="270"/>
      <c r="AC123" s="270"/>
      <c r="AD123" s="270"/>
      <c r="AE123" s="270"/>
      <c r="AF123" s="270"/>
      <c r="AG123" s="270"/>
      <c r="AH123" s="249"/>
      <c r="AI123" s="249"/>
      <c r="AJ123" s="249"/>
      <c r="AK123" s="249"/>
      <c r="AL123" s="249"/>
      <c r="AM123" s="249"/>
      <c r="AN123" s="249"/>
      <c r="AO123" s="249"/>
    </row>
    <row r="124" spans="2:41" x14ac:dyDescent="0.35">
      <c r="B124" s="256"/>
      <c r="C124" s="256"/>
      <c r="D124" s="256"/>
      <c r="E124" s="256"/>
      <c r="F124" s="256"/>
      <c r="G124" s="256"/>
      <c r="H124" s="256"/>
      <c r="I124" s="256"/>
      <c r="J124" s="256"/>
      <c r="M124" s="249">
        <v>787</v>
      </c>
      <c r="N124" s="251" t="str">
        <f t="shared" si="15"/>
        <v/>
      </c>
      <c r="O124" s="251" t="str">
        <f t="shared" si="16"/>
        <v/>
      </c>
      <c r="P124" s="251" t="str">
        <f t="shared" si="17"/>
        <v/>
      </c>
      <c r="Q124" s="251" t="str">
        <f t="shared" si="18"/>
        <v/>
      </c>
      <c r="R124" s="251" t="str">
        <f t="shared" si="19"/>
        <v/>
      </c>
      <c r="S124" s="252" t="str">
        <f t="shared" si="20"/>
        <v/>
      </c>
      <c r="T124" s="253"/>
      <c r="U124" s="254">
        <v>4.9000000000000002E-2</v>
      </c>
      <c r="V124" s="254">
        <v>3.5999999999999997E-2</v>
      </c>
      <c r="W124" s="254">
        <v>8.9999999999999993E-3</v>
      </c>
      <c r="X124" s="254">
        <v>0</v>
      </c>
      <c r="Y124" s="254">
        <v>0</v>
      </c>
      <c r="Z124" s="254">
        <v>0</v>
      </c>
      <c r="AA124" s="249"/>
      <c r="AB124" s="270"/>
      <c r="AC124" s="270"/>
      <c r="AD124" s="270"/>
      <c r="AE124" s="270"/>
      <c r="AF124" s="270"/>
      <c r="AG124" s="270"/>
      <c r="AH124" s="249"/>
      <c r="AI124" s="249"/>
      <c r="AJ124" s="249"/>
      <c r="AK124" s="249"/>
      <c r="AL124" s="249"/>
      <c r="AM124" s="249"/>
      <c r="AN124" s="249"/>
      <c r="AO124" s="249"/>
    </row>
    <row r="125" spans="2:41" x14ac:dyDescent="0.35">
      <c r="B125" s="256"/>
      <c r="C125" s="256"/>
      <c r="D125" s="256"/>
      <c r="E125" s="256"/>
      <c r="F125" s="256"/>
      <c r="G125" s="256"/>
      <c r="H125" s="256"/>
      <c r="I125" s="256"/>
      <c r="J125" s="256"/>
      <c r="M125" s="249">
        <v>851</v>
      </c>
      <c r="N125" s="251" t="str">
        <f t="shared" si="15"/>
        <v/>
      </c>
      <c r="O125" s="251" t="str">
        <f t="shared" si="16"/>
        <v/>
      </c>
      <c r="P125" s="251" t="str">
        <f t="shared" si="17"/>
        <v/>
      </c>
      <c r="Q125" s="251" t="str">
        <f t="shared" si="18"/>
        <v/>
      </c>
      <c r="R125" s="251" t="str">
        <f t="shared" si="19"/>
        <v/>
      </c>
      <c r="S125" s="252" t="str">
        <f t="shared" si="20"/>
        <v/>
      </c>
      <c r="T125" s="253"/>
      <c r="U125" s="254">
        <v>7.8E-2</v>
      </c>
      <c r="V125" s="254">
        <v>0.05</v>
      </c>
      <c r="W125" s="254">
        <v>3.3000000000000002E-2</v>
      </c>
      <c r="X125" s="254">
        <v>2.4E-2</v>
      </c>
      <c r="Y125" s="254">
        <v>5.0000000000000001E-3</v>
      </c>
      <c r="Z125" s="254">
        <v>0</v>
      </c>
      <c r="AA125" s="249"/>
      <c r="AB125" s="270"/>
      <c r="AC125" s="270"/>
      <c r="AD125" s="270"/>
      <c r="AE125" s="270"/>
      <c r="AF125" s="270"/>
      <c r="AG125" s="270"/>
      <c r="AH125" s="249"/>
      <c r="AI125" s="249"/>
      <c r="AJ125" s="249"/>
      <c r="AK125" s="249"/>
      <c r="AL125" s="249"/>
      <c r="AM125" s="249"/>
      <c r="AN125" s="249"/>
      <c r="AO125" s="249"/>
    </row>
    <row r="126" spans="2:41" x14ac:dyDescent="0.35">
      <c r="B126" s="256"/>
      <c r="C126" s="256"/>
      <c r="D126" s="256"/>
      <c r="E126" s="256"/>
      <c r="F126" s="256"/>
      <c r="G126" s="256"/>
      <c r="H126" s="256"/>
      <c r="I126" s="256"/>
      <c r="J126" s="256"/>
      <c r="M126" s="250">
        <v>964</v>
      </c>
      <c r="N126" s="251" t="str">
        <f t="shared" si="15"/>
        <v/>
      </c>
      <c r="O126" s="251" t="str">
        <f t="shared" si="16"/>
        <v/>
      </c>
      <c r="P126" s="251" t="str">
        <f t="shared" si="17"/>
        <v/>
      </c>
      <c r="Q126" s="251" t="str">
        <f t="shared" si="18"/>
        <v/>
      </c>
      <c r="R126" s="251" t="str">
        <f t="shared" si="19"/>
        <v/>
      </c>
      <c r="S126" s="252" t="str">
        <f t="shared" si="20"/>
        <v/>
      </c>
      <c r="T126" s="253"/>
      <c r="U126" s="254">
        <v>0.1</v>
      </c>
      <c r="V126" s="254">
        <v>7.1999999999999995E-2</v>
      </c>
      <c r="W126" s="254">
        <v>6.4000000000000001E-2</v>
      </c>
      <c r="X126" s="254">
        <v>3.6999999999999998E-2</v>
      </c>
      <c r="Y126" s="254">
        <v>0.03</v>
      </c>
      <c r="Z126" s="254">
        <v>1.0999999999999999E-2</v>
      </c>
      <c r="AA126" s="249"/>
      <c r="AB126" s="270"/>
      <c r="AC126" s="270"/>
      <c r="AD126" s="270"/>
      <c r="AE126" s="270"/>
      <c r="AF126" s="270"/>
      <c r="AG126" s="270"/>
      <c r="AH126" s="249"/>
      <c r="AI126" s="249"/>
      <c r="AJ126" s="249"/>
      <c r="AK126" s="249"/>
      <c r="AL126" s="249"/>
      <c r="AM126" s="249"/>
      <c r="AN126" s="249"/>
      <c r="AO126" s="249"/>
    </row>
    <row r="127" spans="2:41" x14ac:dyDescent="0.35">
      <c r="B127" s="256"/>
      <c r="C127" s="256"/>
      <c r="D127" s="256"/>
      <c r="E127" s="256"/>
      <c r="F127" s="256"/>
      <c r="G127" s="256"/>
      <c r="H127" s="256"/>
      <c r="I127" s="256"/>
      <c r="J127" s="256"/>
      <c r="M127" s="250">
        <v>1051</v>
      </c>
      <c r="N127" s="251" t="str">
        <f t="shared" si="15"/>
        <v/>
      </c>
      <c r="O127" s="251" t="str">
        <f t="shared" si="16"/>
        <v/>
      </c>
      <c r="P127" s="251" t="str">
        <f t="shared" si="17"/>
        <v/>
      </c>
      <c r="Q127" s="251" t="str">
        <f t="shared" si="18"/>
        <v/>
      </c>
      <c r="R127" s="251" t="str">
        <f t="shared" si="19"/>
        <v/>
      </c>
      <c r="S127" s="252" t="str">
        <f t="shared" si="20"/>
        <v/>
      </c>
      <c r="T127" s="253"/>
      <c r="U127" s="254">
        <v>0.112</v>
      </c>
      <c r="V127" s="254">
        <v>8.5000000000000006E-2</v>
      </c>
      <c r="W127" s="254">
        <v>7.6999999999999999E-2</v>
      </c>
      <c r="X127" s="254">
        <v>0.05</v>
      </c>
      <c r="Y127" s="254">
        <v>4.2999999999999997E-2</v>
      </c>
      <c r="Z127" s="254">
        <v>0.03</v>
      </c>
      <c r="AA127" s="249"/>
      <c r="AB127" s="270"/>
      <c r="AC127" s="270"/>
      <c r="AD127" s="270"/>
      <c r="AE127" s="270"/>
      <c r="AF127" s="270"/>
      <c r="AG127" s="270"/>
      <c r="AH127" s="249"/>
      <c r="AI127" s="249"/>
      <c r="AJ127" s="249"/>
      <c r="AK127" s="249"/>
      <c r="AL127" s="249"/>
      <c r="AM127" s="249"/>
      <c r="AN127" s="249"/>
      <c r="AO127" s="249"/>
    </row>
    <row r="128" spans="2:41" x14ac:dyDescent="0.35">
      <c r="B128" s="256"/>
      <c r="C128" s="256"/>
      <c r="D128" s="256"/>
      <c r="E128" s="256"/>
      <c r="F128" s="256"/>
      <c r="G128" s="256"/>
      <c r="H128" s="256"/>
      <c r="I128" s="256"/>
      <c r="J128" s="256"/>
      <c r="M128" s="250">
        <v>1113</v>
      </c>
      <c r="N128" s="251" t="str">
        <f t="shared" si="15"/>
        <v/>
      </c>
      <c r="O128" s="251" t="str">
        <f t="shared" si="16"/>
        <v/>
      </c>
      <c r="P128" s="251" t="str">
        <f t="shared" si="17"/>
        <v/>
      </c>
      <c r="Q128" s="251" t="str">
        <f t="shared" si="18"/>
        <v/>
      </c>
      <c r="R128" s="251" t="str">
        <f t="shared" si="19"/>
        <v/>
      </c>
      <c r="S128" s="252" t="str">
        <f t="shared" si="20"/>
        <v/>
      </c>
      <c r="T128" s="253"/>
      <c r="U128" s="254">
        <v>0.12</v>
      </c>
      <c r="V128" s="254">
        <v>9.4E-2</v>
      </c>
      <c r="W128" s="254">
        <v>8.5000000000000006E-2</v>
      </c>
      <c r="X128" s="254">
        <v>5.8999999999999997E-2</v>
      </c>
      <c r="Y128" s="254">
        <v>4.7E-2</v>
      </c>
      <c r="Z128" s="254">
        <v>3.7999999999999999E-2</v>
      </c>
      <c r="AA128" s="249"/>
      <c r="AB128" s="270"/>
      <c r="AC128" s="270"/>
      <c r="AD128" s="270"/>
      <c r="AE128" s="270"/>
      <c r="AF128" s="270"/>
      <c r="AG128" s="270"/>
      <c r="AH128" s="249"/>
      <c r="AI128" s="249"/>
      <c r="AJ128" s="249"/>
      <c r="AK128" s="249"/>
      <c r="AL128" s="249"/>
      <c r="AM128" s="249"/>
      <c r="AN128" s="249"/>
      <c r="AO128" s="249"/>
    </row>
    <row r="129" spans="2:41" x14ac:dyDescent="0.35">
      <c r="B129" s="256"/>
      <c r="C129" s="256"/>
      <c r="D129" s="256"/>
      <c r="E129" s="256"/>
      <c r="F129" s="256"/>
      <c r="G129" s="256"/>
      <c r="H129" s="256"/>
      <c r="I129" s="256"/>
      <c r="J129" s="256"/>
      <c r="M129" s="250">
        <v>1194</v>
      </c>
      <c r="N129" s="251" t="str">
        <f t="shared" si="15"/>
        <v/>
      </c>
      <c r="O129" s="251" t="str">
        <f t="shared" si="16"/>
        <v/>
      </c>
      <c r="P129" s="251" t="str">
        <f t="shared" si="17"/>
        <v/>
      </c>
      <c r="Q129" s="251" t="str">
        <f t="shared" si="18"/>
        <v/>
      </c>
      <c r="R129" s="251" t="str">
        <f t="shared" si="19"/>
        <v/>
      </c>
      <c r="S129" s="252" t="str">
        <f t="shared" si="20"/>
        <v/>
      </c>
      <c r="T129" s="253"/>
      <c r="U129" s="254">
        <v>0.13</v>
      </c>
      <c r="V129" s="254">
        <v>0.113</v>
      </c>
      <c r="W129" s="254">
        <v>0.105</v>
      </c>
      <c r="X129" s="254">
        <v>7.8E-2</v>
      </c>
      <c r="Y129" s="254">
        <v>7.0000000000000007E-2</v>
      </c>
      <c r="Z129" s="254">
        <v>5.1999999999999998E-2</v>
      </c>
      <c r="AA129" s="249"/>
      <c r="AB129" s="270"/>
      <c r="AC129" s="270"/>
      <c r="AD129" s="270"/>
      <c r="AE129" s="270"/>
      <c r="AF129" s="270"/>
      <c r="AG129" s="270"/>
      <c r="AH129" s="249"/>
      <c r="AI129" s="249"/>
      <c r="AJ129" s="249"/>
      <c r="AK129" s="249"/>
      <c r="AL129" s="249"/>
      <c r="AM129" s="249"/>
      <c r="AN129" s="249"/>
      <c r="AO129" s="249"/>
    </row>
    <row r="130" spans="2:41" x14ac:dyDescent="0.35">
      <c r="B130" s="256"/>
      <c r="C130" s="256"/>
      <c r="D130" s="256"/>
      <c r="E130" s="256"/>
      <c r="F130" s="256"/>
      <c r="G130" s="256"/>
      <c r="H130" s="256"/>
      <c r="I130" s="256"/>
      <c r="J130" s="256"/>
      <c r="M130" s="250">
        <v>1280</v>
      </c>
      <c r="N130" s="251" t="str">
        <f t="shared" si="15"/>
        <v/>
      </c>
      <c r="O130" s="251" t="str">
        <f t="shared" si="16"/>
        <v/>
      </c>
      <c r="P130" s="251" t="str">
        <f t="shared" si="17"/>
        <v/>
      </c>
      <c r="Q130" s="251" t="str">
        <f t="shared" si="18"/>
        <v/>
      </c>
      <c r="R130" s="251" t="str">
        <f t="shared" si="19"/>
        <v/>
      </c>
      <c r="S130" s="252" t="str">
        <f t="shared" si="20"/>
        <v/>
      </c>
      <c r="T130" s="253"/>
      <c r="U130" s="254">
        <v>0.14000000000000001</v>
      </c>
      <c r="V130" s="254">
        <v>0.123</v>
      </c>
      <c r="W130" s="254">
        <v>0.114</v>
      </c>
      <c r="X130" s="254">
        <v>8.7999999999999995E-2</v>
      </c>
      <c r="Y130" s="254">
        <v>7.9000000000000001E-2</v>
      </c>
      <c r="Z130" s="254">
        <v>6.2E-2</v>
      </c>
      <c r="AA130" s="249"/>
      <c r="AB130" s="270"/>
      <c r="AC130" s="270"/>
      <c r="AD130" s="270"/>
      <c r="AE130" s="270"/>
      <c r="AF130" s="270"/>
      <c r="AG130" s="270"/>
      <c r="AH130" s="249"/>
      <c r="AI130" s="249"/>
      <c r="AJ130" s="249"/>
      <c r="AK130" s="249"/>
      <c r="AL130" s="249"/>
      <c r="AM130" s="249"/>
      <c r="AN130" s="249"/>
      <c r="AO130" s="249"/>
    </row>
    <row r="131" spans="2:41" x14ac:dyDescent="0.35">
      <c r="B131" s="256"/>
      <c r="C131" s="256"/>
      <c r="D131" s="256"/>
      <c r="E131" s="256"/>
      <c r="F131" s="256"/>
      <c r="G131" s="256"/>
      <c r="H131" s="256"/>
      <c r="I131" s="256"/>
      <c r="J131" s="256"/>
      <c r="M131" s="250">
        <v>1380</v>
      </c>
      <c r="N131" s="251" t="str">
        <f t="shared" si="15"/>
        <v/>
      </c>
      <c r="O131" s="251" t="str">
        <f t="shared" si="16"/>
        <v/>
      </c>
      <c r="P131" s="251" t="str">
        <f t="shared" si="17"/>
        <v/>
      </c>
      <c r="Q131" s="251" t="str">
        <f t="shared" si="18"/>
        <v/>
      </c>
      <c r="R131" s="251" t="str">
        <f t="shared" si="19"/>
        <v/>
      </c>
      <c r="S131" s="252" t="str">
        <f t="shared" si="20"/>
        <v/>
      </c>
      <c r="T131" s="253"/>
      <c r="U131" s="254">
        <v>0.15</v>
      </c>
      <c r="V131" s="254">
        <v>0.14299999999999999</v>
      </c>
      <c r="W131" s="254">
        <v>0.125</v>
      </c>
      <c r="X131" s="254">
        <v>0.106</v>
      </c>
      <c r="Y131" s="254">
        <v>8.8999999999999996E-2</v>
      </c>
      <c r="Z131" s="254">
        <v>0.08</v>
      </c>
      <c r="AA131" s="249"/>
      <c r="AB131" s="270"/>
      <c r="AC131" s="270"/>
      <c r="AD131" s="270"/>
      <c r="AE131" s="270"/>
      <c r="AF131" s="270"/>
      <c r="AG131" s="270"/>
      <c r="AH131" s="249"/>
      <c r="AI131" s="249"/>
      <c r="AJ131" s="249"/>
      <c r="AK131" s="249"/>
      <c r="AL131" s="249"/>
      <c r="AM131" s="249"/>
      <c r="AN131" s="249"/>
      <c r="AO131" s="249"/>
    </row>
    <row r="132" spans="2:41" x14ac:dyDescent="0.35">
      <c r="B132" s="256"/>
      <c r="C132" s="256"/>
      <c r="D132" s="256"/>
      <c r="E132" s="256"/>
      <c r="F132" s="256"/>
      <c r="G132" s="256"/>
      <c r="H132" s="256"/>
      <c r="I132" s="256"/>
      <c r="J132" s="256"/>
      <c r="M132" s="250">
        <v>1466</v>
      </c>
      <c r="N132" s="251" t="str">
        <f t="shared" si="15"/>
        <v/>
      </c>
      <c r="O132" s="251" t="str">
        <f t="shared" si="16"/>
        <v/>
      </c>
      <c r="P132" s="251" t="str">
        <f t="shared" si="17"/>
        <v/>
      </c>
      <c r="Q132" s="251" t="str">
        <f t="shared" si="18"/>
        <v/>
      </c>
      <c r="R132" s="251" t="str">
        <f t="shared" si="19"/>
        <v/>
      </c>
      <c r="S132" s="252" t="str">
        <f t="shared" si="20"/>
        <v/>
      </c>
      <c r="T132" s="253"/>
      <c r="U132" s="254">
        <v>0.161</v>
      </c>
      <c r="V132" s="254">
        <v>0.153</v>
      </c>
      <c r="W132" s="254">
        <v>0.13600000000000001</v>
      </c>
      <c r="X132" s="254">
        <v>0.11899999999999999</v>
      </c>
      <c r="Y132" s="254">
        <v>0.1</v>
      </c>
      <c r="Z132" s="254">
        <v>9.1999999999999998E-2</v>
      </c>
      <c r="AA132" s="249"/>
      <c r="AB132" s="270"/>
      <c r="AC132" s="270"/>
      <c r="AD132" s="270"/>
      <c r="AE132" s="270"/>
      <c r="AF132" s="270"/>
      <c r="AG132" s="270"/>
      <c r="AH132" s="249"/>
      <c r="AI132" s="249"/>
      <c r="AJ132" s="249"/>
      <c r="AK132" s="249"/>
      <c r="AL132" s="249"/>
      <c r="AM132" s="249"/>
      <c r="AN132" s="249"/>
      <c r="AO132" s="249"/>
    </row>
    <row r="133" spans="2:41" x14ac:dyDescent="0.35">
      <c r="B133" s="271"/>
      <c r="C133" s="271"/>
      <c r="D133" s="271"/>
      <c r="E133" s="271"/>
      <c r="F133" s="271"/>
      <c r="G133" s="271"/>
      <c r="H133" s="271"/>
      <c r="I133" s="271"/>
      <c r="M133" s="250">
        <v>1609</v>
      </c>
      <c r="N133" s="251">
        <f t="shared" si="15"/>
        <v>0.17100000000000001</v>
      </c>
      <c r="O133" s="251">
        <f t="shared" si="16"/>
        <v>0.16400000000000001</v>
      </c>
      <c r="P133" s="251">
        <f t="shared" si="17"/>
        <v>0.14599999999999999</v>
      </c>
      <c r="Q133" s="251">
        <f t="shared" si="18"/>
        <v>0.128</v>
      </c>
      <c r="R133" s="251">
        <f t="shared" si="19"/>
        <v>0.111</v>
      </c>
      <c r="S133" s="252">
        <f t="shared" si="20"/>
        <v>0.10199999999999999</v>
      </c>
      <c r="T133" s="253"/>
      <c r="U133" s="254">
        <v>0.17100000000000001</v>
      </c>
      <c r="V133" s="254">
        <v>0.16400000000000001</v>
      </c>
      <c r="W133" s="254">
        <v>0.14599999999999999</v>
      </c>
      <c r="X133" s="254">
        <v>0.128</v>
      </c>
      <c r="Y133" s="254">
        <v>0.111</v>
      </c>
      <c r="Z133" s="254">
        <v>0.10199999999999999</v>
      </c>
      <c r="AA133" s="249"/>
      <c r="AB133" s="270"/>
      <c r="AC133" s="270"/>
      <c r="AD133" s="270"/>
      <c r="AE133" s="270"/>
      <c r="AF133" s="270"/>
      <c r="AG133" s="270"/>
      <c r="AH133" s="249"/>
      <c r="AI133" s="249"/>
      <c r="AJ133" s="249"/>
      <c r="AK133" s="249"/>
      <c r="AL133" s="249"/>
      <c r="AM133" s="249"/>
      <c r="AN133" s="249"/>
      <c r="AO133" s="249"/>
    </row>
    <row r="134" spans="2:41" x14ac:dyDescent="0.35">
      <c r="B134" s="271"/>
      <c r="C134" s="271"/>
      <c r="D134" s="271"/>
      <c r="E134" s="271"/>
      <c r="F134" s="271"/>
      <c r="G134" s="271"/>
      <c r="H134" s="271"/>
      <c r="I134" s="271"/>
      <c r="M134" s="250">
        <v>1762</v>
      </c>
      <c r="N134" s="251" t="str">
        <f t="shared" si="15"/>
        <v/>
      </c>
      <c r="O134" s="251" t="str">
        <f t="shared" si="16"/>
        <v/>
      </c>
      <c r="P134" s="251" t="str">
        <f t="shared" si="17"/>
        <v/>
      </c>
      <c r="Q134" s="251" t="str">
        <f t="shared" si="18"/>
        <v/>
      </c>
      <c r="R134" s="251" t="str">
        <f t="shared" si="19"/>
        <v/>
      </c>
      <c r="S134" s="252" t="str">
        <f t="shared" si="20"/>
        <v/>
      </c>
      <c r="T134" s="253"/>
      <c r="U134" s="254">
        <v>0.185</v>
      </c>
      <c r="V134" s="254">
        <v>0.17699999999999999</v>
      </c>
      <c r="W134" s="254">
        <v>0.161</v>
      </c>
      <c r="X134" s="254">
        <v>0.14299999999999999</v>
      </c>
      <c r="Y134" s="254">
        <v>0.13400000000000001</v>
      </c>
      <c r="Z134" s="254">
        <v>0.11700000000000001</v>
      </c>
      <c r="AA134" s="249"/>
      <c r="AB134" s="270"/>
      <c r="AC134" s="270"/>
      <c r="AD134" s="270"/>
      <c r="AE134" s="270"/>
      <c r="AF134" s="270"/>
      <c r="AG134" s="270"/>
      <c r="AH134" s="249"/>
      <c r="AI134" s="249"/>
      <c r="AJ134" s="249"/>
      <c r="AK134" s="249"/>
      <c r="AL134" s="249"/>
      <c r="AM134" s="249"/>
      <c r="AN134" s="249"/>
      <c r="AO134" s="249"/>
    </row>
    <row r="135" spans="2:41" x14ac:dyDescent="0.35">
      <c r="B135" s="271"/>
      <c r="C135" s="271"/>
      <c r="D135" s="271"/>
      <c r="E135" s="271"/>
      <c r="F135" s="271"/>
      <c r="G135" s="271"/>
      <c r="H135" s="271"/>
      <c r="I135" s="271"/>
      <c r="M135" s="250">
        <v>1925</v>
      </c>
      <c r="N135" s="251" t="str">
        <f t="shared" si="15"/>
        <v/>
      </c>
      <c r="O135" s="251" t="str">
        <f t="shared" si="16"/>
        <v/>
      </c>
      <c r="P135" s="251" t="str">
        <f t="shared" si="17"/>
        <v/>
      </c>
      <c r="Q135" s="251" t="str">
        <f t="shared" si="18"/>
        <v/>
      </c>
      <c r="R135" s="251" t="str">
        <f t="shared" si="19"/>
        <v/>
      </c>
      <c r="S135" s="252" t="str">
        <f t="shared" si="20"/>
        <v/>
      </c>
      <c r="T135" s="253"/>
      <c r="U135" s="254">
        <v>0.19900000000000001</v>
      </c>
      <c r="V135" s="254">
        <v>0.193</v>
      </c>
      <c r="W135" s="254">
        <v>0.17599999999999999</v>
      </c>
      <c r="X135" s="254">
        <v>0.16</v>
      </c>
      <c r="Y135" s="254">
        <v>0.152</v>
      </c>
      <c r="Z135" s="254">
        <v>0.13500000000000001</v>
      </c>
      <c r="AA135" s="249"/>
      <c r="AB135" s="270"/>
      <c r="AC135" s="270"/>
      <c r="AD135" s="270"/>
      <c r="AE135" s="270"/>
      <c r="AF135" s="270"/>
      <c r="AG135" s="270"/>
      <c r="AH135" s="249"/>
      <c r="AI135" s="249"/>
      <c r="AJ135" s="249"/>
      <c r="AK135" s="249"/>
      <c r="AL135" s="249"/>
      <c r="AM135" s="249"/>
      <c r="AN135" s="249"/>
      <c r="AO135" s="249"/>
    </row>
    <row r="136" spans="2:41" x14ac:dyDescent="0.35">
      <c r="B136" s="271"/>
      <c r="C136" s="271"/>
      <c r="D136" s="271"/>
      <c r="E136" s="271"/>
      <c r="F136" s="271"/>
      <c r="G136" s="271"/>
      <c r="H136" s="271"/>
      <c r="I136" s="271"/>
      <c r="M136" s="250">
        <v>2035</v>
      </c>
      <c r="N136" s="251" t="str">
        <f t="shared" si="15"/>
        <v/>
      </c>
      <c r="O136" s="251" t="str">
        <f t="shared" si="16"/>
        <v/>
      </c>
      <c r="P136" s="251" t="str">
        <f t="shared" si="17"/>
        <v/>
      </c>
      <c r="Q136" s="251" t="str">
        <f t="shared" si="18"/>
        <v/>
      </c>
      <c r="R136" s="251" t="str">
        <f t="shared" si="19"/>
        <v/>
      </c>
      <c r="S136" s="252" t="str">
        <f t="shared" si="20"/>
        <v/>
      </c>
      <c r="T136" s="253"/>
      <c r="U136" s="254">
        <v>0.20899999999999999</v>
      </c>
      <c r="V136" s="254">
        <v>0.20399999999999999</v>
      </c>
      <c r="W136" s="254">
        <v>0.185</v>
      </c>
      <c r="X136" s="254">
        <v>0.16900000000000001</v>
      </c>
      <c r="Y136" s="254">
        <v>0.161</v>
      </c>
      <c r="Z136" s="254">
        <v>0.14499999999999999</v>
      </c>
      <c r="AA136" s="249"/>
      <c r="AB136" s="270"/>
      <c r="AC136" s="270"/>
      <c r="AD136" s="270"/>
      <c r="AE136" s="270"/>
      <c r="AF136" s="270"/>
      <c r="AG136" s="270"/>
      <c r="AH136" s="249"/>
      <c r="AI136" s="249"/>
      <c r="AJ136" s="249"/>
      <c r="AK136" s="249"/>
      <c r="AL136" s="249"/>
      <c r="AM136" s="249"/>
      <c r="AN136" s="249"/>
      <c r="AO136" s="249"/>
    </row>
    <row r="137" spans="2:41" x14ac:dyDescent="0.35">
      <c r="B137" s="271"/>
      <c r="C137" s="271"/>
      <c r="D137" s="271"/>
      <c r="E137" s="271"/>
      <c r="F137" s="271"/>
      <c r="G137" s="271"/>
      <c r="H137" s="271"/>
      <c r="I137" s="271"/>
      <c r="M137" s="250">
        <v>2151</v>
      </c>
      <c r="N137" s="251" t="str">
        <f t="shared" si="15"/>
        <v/>
      </c>
      <c r="O137" s="251" t="str">
        <f t="shared" si="16"/>
        <v/>
      </c>
      <c r="P137" s="251" t="str">
        <f t="shared" si="17"/>
        <v/>
      </c>
      <c r="Q137" s="251" t="str">
        <f t="shared" si="18"/>
        <v/>
      </c>
      <c r="R137" s="251" t="str">
        <f t="shared" si="19"/>
        <v/>
      </c>
      <c r="S137" s="252" t="str">
        <f t="shared" si="20"/>
        <v/>
      </c>
      <c r="T137" s="253"/>
      <c r="U137" s="254">
        <v>0.219</v>
      </c>
      <c r="V137" s="254">
        <v>0.214</v>
      </c>
      <c r="W137" s="254">
        <v>0.19600000000000001</v>
      </c>
      <c r="X137" s="254">
        <v>0.17699999999999999</v>
      </c>
      <c r="Y137" s="254">
        <v>0.17</v>
      </c>
      <c r="Z137" s="254">
        <v>0.16300000000000001</v>
      </c>
      <c r="AA137" s="249"/>
      <c r="AB137" s="270"/>
      <c r="AC137" s="270"/>
      <c r="AD137" s="270"/>
      <c r="AE137" s="270"/>
      <c r="AF137" s="270"/>
      <c r="AG137" s="270"/>
      <c r="AH137" s="249"/>
      <c r="AI137" s="249"/>
      <c r="AJ137" s="249"/>
      <c r="AK137" s="249"/>
      <c r="AL137" s="249"/>
      <c r="AM137" s="249"/>
      <c r="AN137" s="249"/>
      <c r="AO137" s="249"/>
    </row>
    <row r="138" spans="2:41" x14ac:dyDescent="0.35">
      <c r="B138" s="271"/>
      <c r="C138" s="271"/>
      <c r="D138" s="271"/>
      <c r="E138" s="271"/>
      <c r="F138" s="271"/>
      <c r="G138" s="271"/>
      <c r="H138" s="271"/>
      <c r="I138" s="271"/>
      <c r="M138" s="250">
        <v>2283</v>
      </c>
      <c r="N138" s="251" t="str">
        <f t="shared" si="15"/>
        <v/>
      </c>
      <c r="O138" s="251" t="str">
        <f t="shared" si="16"/>
        <v/>
      </c>
      <c r="P138" s="251" t="str">
        <f t="shared" si="17"/>
        <v/>
      </c>
      <c r="Q138" s="251" t="str">
        <f t="shared" si="18"/>
        <v/>
      </c>
      <c r="R138" s="251" t="str">
        <f t="shared" si="19"/>
        <v/>
      </c>
      <c r="S138" s="252" t="str">
        <f t="shared" si="20"/>
        <v/>
      </c>
      <c r="T138" s="253"/>
      <c r="U138" s="254">
        <v>0.22800000000000001</v>
      </c>
      <c r="V138" s="254">
        <v>0.223</v>
      </c>
      <c r="W138" s="254">
        <v>0.20699999999999999</v>
      </c>
      <c r="X138" s="254">
        <v>0.189</v>
      </c>
      <c r="Y138" s="254">
        <v>0.17899999999999999</v>
      </c>
      <c r="Z138" s="254">
        <v>0.17299999999999999</v>
      </c>
      <c r="AA138" s="249"/>
      <c r="AB138" s="270"/>
      <c r="AC138" s="270"/>
      <c r="AD138" s="270"/>
      <c r="AE138" s="270"/>
      <c r="AF138" s="270"/>
      <c r="AG138" s="270"/>
      <c r="AH138" s="249"/>
      <c r="AI138" s="249"/>
      <c r="AJ138" s="249"/>
      <c r="AK138" s="249"/>
      <c r="AL138" s="249"/>
      <c r="AM138" s="249"/>
      <c r="AN138" s="249"/>
      <c r="AO138" s="249"/>
    </row>
    <row r="139" spans="2:41" x14ac:dyDescent="0.35">
      <c r="B139" s="271"/>
      <c r="C139" s="271"/>
      <c r="D139" s="271"/>
      <c r="E139" s="271"/>
      <c r="F139" s="271"/>
      <c r="G139" s="271"/>
      <c r="H139" s="271"/>
      <c r="I139" s="271"/>
      <c r="M139" s="250">
        <v>2437</v>
      </c>
      <c r="N139" s="251" t="str">
        <f t="shared" si="15"/>
        <v/>
      </c>
      <c r="O139" s="251" t="str">
        <f t="shared" si="16"/>
        <v/>
      </c>
      <c r="P139" s="251" t="str">
        <f t="shared" si="17"/>
        <v/>
      </c>
      <c r="Q139" s="251" t="str">
        <f t="shared" si="18"/>
        <v/>
      </c>
      <c r="R139" s="251" t="str">
        <f t="shared" si="19"/>
        <v/>
      </c>
      <c r="S139" s="252" t="str">
        <f t="shared" si="20"/>
        <v/>
      </c>
      <c r="T139" s="253"/>
      <c r="U139" s="254">
        <v>0.23799999999999999</v>
      </c>
      <c r="V139" s="254">
        <v>0.23400000000000001</v>
      </c>
      <c r="W139" s="254">
        <v>0.22600000000000001</v>
      </c>
      <c r="X139" s="254">
        <v>0.19900000000000001</v>
      </c>
      <c r="Y139" s="254">
        <v>0.191</v>
      </c>
      <c r="Z139" s="254">
        <v>0.182</v>
      </c>
      <c r="AA139" s="249"/>
      <c r="AB139" s="270"/>
      <c r="AC139" s="270"/>
      <c r="AD139" s="270"/>
      <c r="AE139" s="270"/>
      <c r="AF139" s="270"/>
      <c r="AG139" s="270"/>
      <c r="AH139" s="249"/>
      <c r="AI139" s="249"/>
      <c r="AJ139" s="249"/>
      <c r="AK139" s="249"/>
      <c r="AL139" s="249"/>
      <c r="AM139" s="249"/>
      <c r="AN139" s="249"/>
      <c r="AO139" s="249"/>
    </row>
    <row r="140" spans="2:41" x14ac:dyDescent="0.35">
      <c r="B140" s="271"/>
      <c r="C140" s="271"/>
      <c r="D140" s="271"/>
      <c r="E140" s="271"/>
      <c r="F140" s="271"/>
      <c r="G140" s="271"/>
      <c r="H140" s="271"/>
      <c r="I140" s="271"/>
      <c r="M140" s="250">
        <v>2609</v>
      </c>
      <c r="N140" s="251" t="str">
        <f t="shared" si="15"/>
        <v/>
      </c>
      <c r="O140" s="251" t="str">
        <f t="shared" si="16"/>
        <v/>
      </c>
      <c r="P140" s="251" t="str">
        <f t="shared" si="17"/>
        <v/>
      </c>
      <c r="Q140" s="251" t="str">
        <f t="shared" si="18"/>
        <v/>
      </c>
      <c r="R140" s="251" t="str">
        <f t="shared" si="19"/>
        <v/>
      </c>
      <c r="S140" s="252" t="str">
        <f t="shared" si="20"/>
        <v/>
      </c>
      <c r="T140" s="253"/>
      <c r="U140" s="254">
        <v>0.248</v>
      </c>
      <c r="V140" s="254">
        <v>0.24399999999999999</v>
      </c>
      <c r="W140" s="254">
        <v>0.23599999999999999</v>
      </c>
      <c r="X140" s="254">
        <v>0.21</v>
      </c>
      <c r="Y140" s="254">
        <v>0.20200000000000001</v>
      </c>
      <c r="Z140" s="254">
        <v>0.19400000000000001</v>
      </c>
      <c r="AA140" s="249"/>
      <c r="AB140" s="270"/>
      <c r="AC140" s="270"/>
      <c r="AD140" s="270"/>
      <c r="AE140" s="270"/>
      <c r="AF140" s="270"/>
      <c r="AG140" s="270"/>
      <c r="AH140" s="249"/>
      <c r="AI140" s="249"/>
      <c r="AJ140" s="249"/>
      <c r="AK140" s="249"/>
      <c r="AL140" s="249"/>
      <c r="AM140" s="249"/>
      <c r="AN140" s="249"/>
      <c r="AO140" s="249"/>
    </row>
    <row r="141" spans="2:41" x14ac:dyDescent="0.35">
      <c r="B141" s="271"/>
      <c r="C141" s="271"/>
      <c r="D141" s="271"/>
      <c r="E141" s="271"/>
      <c r="F141" s="271"/>
      <c r="G141" s="271"/>
      <c r="H141" s="271"/>
      <c r="I141" s="271"/>
      <c r="M141" s="250">
        <v>2848</v>
      </c>
      <c r="N141" s="251" t="str">
        <f t="shared" si="15"/>
        <v/>
      </c>
      <c r="O141" s="251" t="str">
        <f t="shared" si="16"/>
        <v/>
      </c>
      <c r="P141" s="251" t="str">
        <f t="shared" si="17"/>
        <v/>
      </c>
      <c r="Q141" s="251" t="str">
        <f t="shared" si="18"/>
        <v/>
      </c>
      <c r="R141" s="251" t="str">
        <f t="shared" si="19"/>
        <v/>
      </c>
      <c r="S141" s="252" t="str">
        <f t="shared" si="20"/>
        <v/>
      </c>
      <c r="T141" s="253"/>
      <c r="U141" s="254">
        <v>0.25700000000000001</v>
      </c>
      <c r="V141" s="254">
        <v>0.252</v>
      </c>
      <c r="W141" s="254">
        <v>0.246</v>
      </c>
      <c r="X141" s="254">
        <v>0.219</v>
      </c>
      <c r="Y141" s="254">
        <v>0.21199999999999999</v>
      </c>
      <c r="Z141" s="254">
        <v>0.20399999999999999</v>
      </c>
      <c r="AA141" s="249"/>
      <c r="AB141" s="270"/>
      <c r="AC141" s="270"/>
      <c r="AD141" s="270"/>
      <c r="AE141" s="270"/>
      <c r="AF141" s="270"/>
      <c r="AG141" s="270"/>
      <c r="AH141" s="249"/>
      <c r="AI141" s="249"/>
      <c r="AJ141" s="249"/>
      <c r="AK141" s="249"/>
      <c r="AL141" s="249"/>
      <c r="AM141" s="249"/>
      <c r="AN141" s="249"/>
      <c r="AO141" s="249"/>
    </row>
    <row r="142" spans="2:41" x14ac:dyDescent="0.35">
      <c r="B142" s="271"/>
      <c r="C142" s="271"/>
      <c r="D142" s="271"/>
      <c r="E142" s="271"/>
      <c r="F142" s="271"/>
      <c r="G142" s="271"/>
      <c r="H142" s="271"/>
      <c r="I142" s="271"/>
      <c r="M142" s="250">
        <v>3195</v>
      </c>
      <c r="N142" s="251" t="str">
        <f t="shared" si="15"/>
        <v/>
      </c>
      <c r="O142" s="251" t="str">
        <f t="shared" si="16"/>
        <v/>
      </c>
      <c r="P142" s="251" t="str">
        <f t="shared" si="17"/>
        <v/>
      </c>
      <c r="Q142" s="251" t="str">
        <f t="shared" si="18"/>
        <v/>
      </c>
      <c r="R142" s="251" t="str">
        <f t="shared" si="19"/>
        <v/>
      </c>
      <c r="S142" s="252" t="str">
        <f t="shared" si="20"/>
        <v/>
      </c>
      <c r="T142" s="253"/>
      <c r="U142" s="254">
        <v>0.26900000000000002</v>
      </c>
      <c r="V142" s="254">
        <v>0.26500000000000001</v>
      </c>
      <c r="W142" s="254">
        <v>0.25700000000000001</v>
      </c>
      <c r="X142" s="254">
        <v>0.23100000000000001</v>
      </c>
      <c r="Y142" s="254">
        <v>0.223</v>
      </c>
      <c r="Z142" s="254">
        <v>0.216</v>
      </c>
      <c r="AA142" s="249"/>
      <c r="AB142" s="270"/>
      <c r="AC142" s="270"/>
      <c r="AD142" s="270"/>
      <c r="AE142" s="270"/>
      <c r="AF142" s="270"/>
      <c r="AG142" s="270"/>
      <c r="AH142" s="249"/>
      <c r="AI142" s="249"/>
      <c r="AJ142" s="249"/>
      <c r="AK142" s="249"/>
      <c r="AL142" s="249"/>
      <c r="AM142" s="249"/>
      <c r="AN142" s="249"/>
      <c r="AO142" s="249"/>
    </row>
    <row r="143" spans="2:41" x14ac:dyDescent="0.35">
      <c r="B143" s="271"/>
      <c r="C143" s="271"/>
      <c r="D143" s="271"/>
      <c r="E143" s="271"/>
      <c r="F143" s="271"/>
      <c r="G143" s="271"/>
      <c r="H143" s="271"/>
      <c r="I143" s="271"/>
      <c r="M143" s="250">
        <v>3637</v>
      </c>
      <c r="N143" s="251" t="str">
        <f t="shared" si="15"/>
        <v/>
      </c>
      <c r="O143" s="251" t="str">
        <f t="shared" si="16"/>
        <v/>
      </c>
      <c r="P143" s="251" t="str">
        <f t="shared" si="17"/>
        <v/>
      </c>
      <c r="Q143" s="251" t="str">
        <f t="shared" si="18"/>
        <v/>
      </c>
      <c r="R143" s="251" t="str">
        <f t="shared" si="19"/>
        <v/>
      </c>
      <c r="S143" s="252" t="str">
        <f t="shared" si="20"/>
        <v/>
      </c>
      <c r="T143" s="253"/>
      <c r="U143" s="254">
        <v>0.28499999999999998</v>
      </c>
      <c r="V143" s="254">
        <v>0.28399999999999997</v>
      </c>
      <c r="W143" s="254">
        <v>0.28000000000000003</v>
      </c>
      <c r="X143" s="254">
        <v>0.25700000000000001</v>
      </c>
      <c r="Y143" s="254">
        <v>0.253</v>
      </c>
      <c r="Z143" s="254">
        <v>0.249</v>
      </c>
      <c r="AA143" s="249"/>
      <c r="AB143" s="270"/>
      <c r="AC143" s="270"/>
      <c r="AD143" s="270"/>
      <c r="AE143" s="270"/>
      <c r="AF143" s="270"/>
      <c r="AG143" s="270"/>
      <c r="AH143" s="249"/>
      <c r="AI143" s="249"/>
      <c r="AJ143" s="249"/>
      <c r="AK143" s="249"/>
      <c r="AL143" s="249"/>
      <c r="AM143" s="249"/>
      <c r="AN143" s="249"/>
      <c r="AO143" s="249"/>
    </row>
    <row r="144" spans="2:41" x14ac:dyDescent="0.35">
      <c r="B144" s="271"/>
      <c r="C144" s="271"/>
      <c r="D144" s="271"/>
      <c r="E144" s="271"/>
      <c r="F144" s="271"/>
      <c r="G144" s="271"/>
      <c r="H144" s="271"/>
      <c r="I144" s="271"/>
      <c r="M144" s="250">
        <v>4239</v>
      </c>
      <c r="N144" s="251" t="str">
        <f t="shared" si="15"/>
        <v/>
      </c>
      <c r="O144" s="251" t="str">
        <f t="shared" si="16"/>
        <v/>
      </c>
      <c r="P144" s="251" t="str">
        <f t="shared" si="17"/>
        <v/>
      </c>
      <c r="Q144" s="251" t="str">
        <f t="shared" si="18"/>
        <v/>
      </c>
      <c r="R144" s="251" t="str">
        <f t="shared" si="19"/>
        <v/>
      </c>
      <c r="S144" s="252" t="str">
        <f t="shared" si="20"/>
        <v/>
      </c>
      <c r="T144" s="253"/>
      <c r="U144" s="254">
        <v>0.29599999999999999</v>
      </c>
      <c r="V144" s="254">
        <v>0.29499999999999998</v>
      </c>
      <c r="W144" s="254">
        <v>0.28999999999999998</v>
      </c>
      <c r="X144" s="254">
        <v>0.27600000000000002</v>
      </c>
      <c r="Y144" s="254">
        <v>0.26300000000000001</v>
      </c>
      <c r="Z144" s="254">
        <v>0.25900000000000001</v>
      </c>
      <c r="AA144" s="249"/>
      <c r="AB144" s="270"/>
      <c r="AC144" s="270"/>
      <c r="AD144" s="270"/>
      <c r="AE144" s="270"/>
      <c r="AF144" s="270"/>
      <c r="AG144" s="270"/>
      <c r="AH144" s="249"/>
      <c r="AI144" s="249"/>
      <c r="AJ144" s="249"/>
      <c r="AK144" s="249"/>
      <c r="AL144" s="249"/>
      <c r="AM144" s="249"/>
      <c r="AN144" s="249"/>
      <c r="AO144" s="249"/>
    </row>
    <row r="145" spans="2:41" x14ac:dyDescent="0.35">
      <c r="B145" s="271"/>
      <c r="C145" s="271"/>
      <c r="D145" s="271"/>
      <c r="E145" s="271"/>
      <c r="F145" s="271"/>
      <c r="G145" s="271"/>
      <c r="H145" s="271"/>
      <c r="I145" s="271"/>
      <c r="M145" s="250">
        <v>4786</v>
      </c>
      <c r="N145" s="251" t="str">
        <f t="shared" si="15"/>
        <v/>
      </c>
      <c r="O145" s="251" t="str">
        <f t="shared" si="16"/>
        <v/>
      </c>
      <c r="P145" s="251" t="str">
        <f t="shared" si="17"/>
        <v/>
      </c>
      <c r="Q145" s="251" t="str">
        <f t="shared" si="18"/>
        <v/>
      </c>
      <c r="R145" s="251" t="str">
        <f t="shared" si="19"/>
        <v/>
      </c>
      <c r="S145" s="252" t="str">
        <f t="shared" si="20"/>
        <v/>
      </c>
      <c r="T145" s="253"/>
      <c r="U145" s="254">
        <v>0.314</v>
      </c>
      <c r="V145" s="254">
        <v>0.311</v>
      </c>
      <c r="W145" s="254">
        <v>0.307</v>
      </c>
      <c r="X145" s="254">
        <v>0.28999999999999998</v>
      </c>
      <c r="Y145" s="254">
        <v>0.27700000000000002</v>
      </c>
      <c r="Z145" s="254">
        <v>0.27300000000000002</v>
      </c>
      <c r="AA145" s="249"/>
      <c r="AB145" s="270"/>
      <c r="AC145" s="270"/>
      <c r="AD145" s="270"/>
      <c r="AE145" s="270"/>
      <c r="AF145" s="270"/>
      <c r="AG145" s="270"/>
      <c r="AH145" s="249"/>
      <c r="AI145" s="249"/>
      <c r="AJ145" s="249"/>
      <c r="AK145" s="249"/>
      <c r="AL145" s="249"/>
      <c r="AM145" s="249"/>
      <c r="AN145" s="249"/>
      <c r="AO145" s="249"/>
    </row>
    <row r="146" spans="2:41" x14ac:dyDescent="0.35">
      <c r="B146" s="271"/>
      <c r="C146" s="271"/>
      <c r="D146" s="271"/>
      <c r="E146" s="271"/>
      <c r="F146" s="271"/>
      <c r="G146" s="271"/>
      <c r="H146" s="271"/>
      <c r="I146" s="271"/>
      <c r="M146" s="250">
        <v>5346</v>
      </c>
      <c r="N146" s="251" t="str">
        <f t="shared" si="15"/>
        <v/>
      </c>
      <c r="O146" s="251" t="str">
        <f t="shared" si="16"/>
        <v/>
      </c>
      <c r="P146" s="251" t="str">
        <f t="shared" si="17"/>
        <v/>
      </c>
      <c r="Q146" s="251" t="str">
        <f t="shared" si="18"/>
        <v/>
      </c>
      <c r="R146" s="251" t="str">
        <f t="shared" si="19"/>
        <v/>
      </c>
      <c r="S146" s="252" t="str">
        <f t="shared" si="20"/>
        <v/>
      </c>
      <c r="T146" s="253"/>
      <c r="U146" s="254">
        <v>0.32300000000000001</v>
      </c>
      <c r="V146" s="254">
        <v>0.32</v>
      </c>
      <c r="W146" s="254">
        <v>0.316</v>
      </c>
      <c r="X146" s="254">
        <v>0.30299999999999999</v>
      </c>
      <c r="Y146" s="254">
        <v>0.29599999999999999</v>
      </c>
      <c r="Z146" s="254">
        <v>0.28299999999999997</v>
      </c>
      <c r="AA146" s="249"/>
      <c r="AB146" s="270"/>
      <c r="AC146" s="270"/>
      <c r="AD146" s="270"/>
      <c r="AE146" s="270"/>
      <c r="AF146" s="270"/>
      <c r="AG146" s="270"/>
      <c r="AH146" s="249"/>
      <c r="AI146" s="249"/>
      <c r="AJ146" s="249"/>
      <c r="AK146" s="249"/>
      <c r="AL146" s="249"/>
      <c r="AM146" s="249"/>
      <c r="AN146" s="249"/>
      <c r="AO146" s="249"/>
    </row>
    <row r="147" spans="2:41" x14ac:dyDescent="0.35">
      <c r="B147" s="271"/>
      <c r="C147" s="271"/>
      <c r="D147" s="271"/>
      <c r="E147" s="271"/>
      <c r="F147" s="271"/>
      <c r="G147" s="271"/>
      <c r="H147" s="271"/>
      <c r="I147" s="271"/>
      <c r="M147" s="250">
        <v>6052</v>
      </c>
      <c r="N147" s="251" t="str">
        <f t="shared" si="15"/>
        <v/>
      </c>
      <c r="O147" s="251" t="str">
        <f t="shared" si="16"/>
        <v/>
      </c>
      <c r="P147" s="251" t="str">
        <f t="shared" si="17"/>
        <v/>
      </c>
      <c r="Q147" s="251" t="str">
        <f t="shared" si="18"/>
        <v/>
      </c>
      <c r="R147" s="251" t="str">
        <f t="shared" si="19"/>
        <v/>
      </c>
      <c r="S147" s="252" t="str">
        <f t="shared" si="20"/>
        <v/>
      </c>
      <c r="T147" s="253"/>
      <c r="U147" s="254">
        <v>0.33300000000000002</v>
      </c>
      <c r="V147" s="254">
        <v>0.33</v>
      </c>
      <c r="W147" s="254">
        <v>0.32600000000000001</v>
      </c>
      <c r="X147" s="254">
        <v>0.313</v>
      </c>
      <c r="Y147" s="254">
        <v>0.309</v>
      </c>
      <c r="Z147" s="254">
        <v>0.29199999999999998</v>
      </c>
      <c r="AA147" s="249"/>
      <c r="AB147" s="270"/>
      <c r="AC147" s="270"/>
      <c r="AD147" s="270"/>
      <c r="AE147" s="270"/>
      <c r="AF147" s="270"/>
      <c r="AG147" s="270"/>
      <c r="AH147" s="249"/>
      <c r="AI147" s="249"/>
      <c r="AJ147" s="249"/>
      <c r="AK147" s="249"/>
      <c r="AL147" s="249"/>
      <c r="AM147" s="249"/>
      <c r="AN147" s="249"/>
      <c r="AO147" s="249"/>
    </row>
    <row r="148" spans="2:41" x14ac:dyDescent="0.35">
      <c r="B148" s="271"/>
      <c r="C148" s="271"/>
      <c r="D148" s="271"/>
      <c r="E148" s="271"/>
      <c r="F148" s="271"/>
      <c r="G148" s="271"/>
      <c r="H148" s="271"/>
      <c r="I148" s="271"/>
      <c r="M148" s="250">
        <v>6924</v>
      </c>
      <c r="N148" s="251" t="str">
        <f t="shared" si="15"/>
        <v/>
      </c>
      <c r="O148" s="251" t="str">
        <f t="shared" si="16"/>
        <v/>
      </c>
      <c r="P148" s="251" t="str">
        <f t="shared" si="17"/>
        <v/>
      </c>
      <c r="Q148" s="251" t="str">
        <f t="shared" si="18"/>
        <v/>
      </c>
      <c r="R148" s="251" t="str">
        <f t="shared" si="19"/>
        <v/>
      </c>
      <c r="S148" s="252" t="str">
        <f t="shared" si="20"/>
        <v/>
      </c>
      <c r="T148" s="253"/>
      <c r="U148" s="254">
        <v>0.35199999999999998</v>
      </c>
      <c r="V148" s="254">
        <v>0.35</v>
      </c>
      <c r="W148" s="254">
        <v>0.34499999999999997</v>
      </c>
      <c r="X148" s="254">
        <v>0.33800000000000002</v>
      </c>
      <c r="Y148" s="254">
        <v>0.33600000000000002</v>
      </c>
      <c r="Z148" s="254">
        <v>0.33400000000000002</v>
      </c>
      <c r="AA148" s="249"/>
      <c r="AB148" s="270"/>
      <c r="AC148" s="270"/>
      <c r="AD148" s="270"/>
      <c r="AE148" s="270"/>
      <c r="AF148" s="270"/>
      <c r="AG148" s="270"/>
      <c r="AH148" s="249"/>
      <c r="AI148" s="249"/>
      <c r="AJ148" s="249"/>
      <c r="AK148" s="249"/>
      <c r="AL148" s="249"/>
      <c r="AM148" s="249"/>
      <c r="AN148" s="249"/>
      <c r="AO148" s="249"/>
    </row>
    <row r="149" spans="2:41" x14ac:dyDescent="0.35">
      <c r="B149" s="271"/>
      <c r="C149" s="271"/>
      <c r="D149" s="271"/>
      <c r="E149" s="271"/>
      <c r="F149" s="271"/>
      <c r="G149" s="271"/>
      <c r="H149" s="271"/>
      <c r="I149" s="271"/>
      <c r="M149" s="250">
        <v>8171</v>
      </c>
      <c r="N149" s="251" t="str">
        <f t="shared" si="15"/>
        <v/>
      </c>
      <c r="O149" s="251" t="str">
        <f t="shared" si="16"/>
        <v/>
      </c>
      <c r="P149" s="251" t="str">
        <f t="shared" si="17"/>
        <v/>
      </c>
      <c r="Q149" s="251" t="str">
        <f t="shared" si="18"/>
        <v/>
      </c>
      <c r="R149" s="251" t="str">
        <f t="shared" si="19"/>
        <v/>
      </c>
      <c r="S149" s="252" t="str">
        <f t="shared" si="20"/>
        <v/>
      </c>
      <c r="T149" s="253"/>
      <c r="U149" s="254">
        <v>0.36199999999999999</v>
      </c>
      <c r="V149" s="254">
        <v>0.36</v>
      </c>
      <c r="W149" s="254">
        <v>0.35799999999999998</v>
      </c>
      <c r="X149" s="254">
        <v>0.34699999999999998</v>
      </c>
      <c r="Y149" s="254">
        <v>0.34599999999999997</v>
      </c>
      <c r="Z149" s="254">
        <v>0.34399999999999997</v>
      </c>
      <c r="AA149" s="249"/>
      <c r="AB149" s="270"/>
      <c r="AC149" s="270"/>
      <c r="AD149" s="270"/>
      <c r="AE149" s="270"/>
      <c r="AF149" s="270"/>
      <c r="AG149" s="270"/>
      <c r="AH149" s="249"/>
      <c r="AI149" s="249"/>
      <c r="AJ149" s="249"/>
      <c r="AK149" s="249"/>
      <c r="AL149" s="249"/>
      <c r="AM149" s="249"/>
      <c r="AN149" s="249"/>
      <c r="AO149" s="249"/>
    </row>
    <row r="150" spans="2:41" x14ac:dyDescent="0.35">
      <c r="B150" s="271"/>
      <c r="C150" s="271"/>
      <c r="D150" s="271"/>
      <c r="E150" s="271"/>
      <c r="F150" s="271"/>
      <c r="G150" s="271"/>
      <c r="H150" s="271"/>
      <c r="I150" s="271"/>
      <c r="M150" s="250">
        <v>9840</v>
      </c>
      <c r="N150" s="251" t="str">
        <f t="shared" si="15"/>
        <v/>
      </c>
      <c r="O150" s="251" t="str">
        <f t="shared" si="16"/>
        <v/>
      </c>
      <c r="P150" s="251" t="str">
        <f t="shared" si="17"/>
        <v/>
      </c>
      <c r="Q150" s="251" t="str">
        <f t="shared" si="18"/>
        <v/>
      </c>
      <c r="R150" s="251" t="str">
        <f t="shared" si="19"/>
        <v/>
      </c>
      <c r="S150" s="252" t="str">
        <f t="shared" si="20"/>
        <v/>
      </c>
      <c r="T150" s="253"/>
      <c r="U150" s="254">
        <v>0.38100000000000001</v>
      </c>
      <c r="V150" s="254">
        <v>0.379</v>
      </c>
      <c r="W150" s="254">
        <v>0.377</v>
      </c>
      <c r="X150" s="254">
        <v>0.36599999999999999</v>
      </c>
      <c r="Y150" s="254">
        <v>0.36399999999999999</v>
      </c>
      <c r="Z150" s="254">
        <v>0.36299999999999999</v>
      </c>
      <c r="AA150" s="249"/>
      <c r="AB150" s="270"/>
      <c r="AC150" s="270"/>
      <c r="AD150" s="270"/>
      <c r="AE150" s="270"/>
      <c r="AF150" s="270"/>
      <c r="AG150" s="270"/>
      <c r="AH150" s="249"/>
      <c r="AI150" s="249"/>
      <c r="AJ150" s="249"/>
      <c r="AK150" s="249"/>
      <c r="AL150" s="249"/>
      <c r="AM150" s="249"/>
      <c r="AN150" s="249"/>
      <c r="AO150" s="249"/>
    </row>
    <row r="151" spans="2:41" x14ac:dyDescent="0.35">
      <c r="B151" s="271"/>
      <c r="C151" s="271"/>
      <c r="D151" s="271"/>
      <c r="E151" s="271"/>
      <c r="F151" s="271"/>
      <c r="G151" s="271"/>
      <c r="H151" s="271"/>
      <c r="I151" s="271"/>
      <c r="M151" s="250">
        <v>11612</v>
      </c>
      <c r="N151" s="251" t="str">
        <f t="shared" si="15"/>
        <v/>
      </c>
      <c r="O151" s="251" t="str">
        <f t="shared" si="16"/>
        <v/>
      </c>
      <c r="P151" s="251" t="str">
        <f t="shared" si="17"/>
        <v/>
      </c>
      <c r="Q151" s="251" t="str">
        <f t="shared" si="18"/>
        <v/>
      </c>
      <c r="R151" s="251" t="str">
        <f t="shared" si="19"/>
        <v/>
      </c>
      <c r="S151" s="252" t="str">
        <f t="shared" si="20"/>
        <v/>
      </c>
      <c r="T151" s="253"/>
      <c r="U151" s="254">
        <v>0.39100000000000001</v>
      </c>
      <c r="V151" s="254">
        <v>0.38900000000000001</v>
      </c>
      <c r="W151" s="254">
        <v>0.38700000000000001</v>
      </c>
      <c r="X151" s="254">
        <v>0.38</v>
      </c>
      <c r="Y151" s="254">
        <v>0.374</v>
      </c>
      <c r="Z151" s="254">
        <v>0.372</v>
      </c>
      <c r="AA151" s="249"/>
      <c r="AB151" s="270"/>
      <c r="AC151" s="270"/>
      <c r="AD151" s="270"/>
      <c r="AE151" s="270"/>
      <c r="AF151" s="270"/>
      <c r="AG151" s="270"/>
      <c r="AH151" s="249"/>
      <c r="AI151" s="249"/>
      <c r="AJ151" s="249"/>
      <c r="AK151" s="249"/>
      <c r="AL151" s="249"/>
      <c r="AM151" s="249"/>
      <c r="AN151" s="249"/>
      <c r="AO151" s="249"/>
    </row>
    <row r="152" spans="2:41" x14ac:dyDescent="0.35">
      <c r="B152" s="271"/>
      <c r="C152" s="271"/>
      <c r="D152" s="271"/>
      <c r="E152" s="271"/>
      <c r="F152" s="271"/>
      <c r="G152" s="271"/>
      <c r="H152" s="271"/>
      <c r="I152" s="271"/>
      <c r="M152" s="250">
        <v>19404</v>
      </c>
      <c r="N152" s="251" t="str">
        <f t="shared" si="15"/>
        <v/>
      </c>
      <c r="O152" s="251" t="str">
        <f t="shared" si="16"/>
        <v/>
      </c>
      <c r="P152" s="251" t="str">
        <f t="shared" si="17"/>
        <v/>
      </c>
      <c r="Q152" s="251" t="str">
        <f t="shared" si="18"/>
        <v/>
      </c>
      <c r="R152" s="251" t="str">
        <f t="shared" si="19"/>
        <v/>
      </c>
      <c r="S152" s="252" t="str">
        <f t="shared" si="20"/>
        <v/>
      </c>
      <c r="T152" s="253"/>
      <c r="U152" s="254">
        <v>0.40100000000000002</v>
      </c>
      <c r="V152" s="254">
        <v>0.39900000000000002</v>
      </c>
      <c r="W152" s="254">
        <v>0.39700000000000002</v>
      </c>
      <c r="X152" s="254">
        <v>0.39</v>
      </c>
      <c r="Y152" s="254">
        <v>0.38800000000000001</v>
      </c>
      <c r="Z152" s="254">
        <v>0.38200000000000001</v>
      </c>
      <c r="AA152" s="249"/>
      <c r="AB152" s="270"/>
      <c r="AC152" s="270"/>
      <c r="AD152" s="270"/>
      <c r="AE152" s="270"/>
      <c r="AF152" s="270"/>
      <c r="AG152" s="270"/>
      <c r="AH152" s="249"/>
      <c r="AI152" s="249"/>
      <c r="AJ152" s="249"/>
      <c r="AK152" s="249"/>
      <c r="AL152" s="249"/>
      <c r="AM152" s="249"/>
      <c r="AN152" s="249"/>
      <c r="AO152" s="249"/>
    </row>
    <row r="153" spans="2:41" x14ac:dyDescent="0.35">
      <c r="B153" s="271"/>
      <c r="C153" s="271"/>
      <c r="D153" s="271"/>
      <c r="E153" s="271"/>
      <c r="F153" s="271"/>
      <c r="G153" s="271"/>
      <c r="H153" s="271"/>
      <c r="I153" s="271"/>
      <c r="M153" s="250">
        <v>20811</v>
      </c>
      <c r="N153" s="251" t="str">
        <f t="shared" si="15"/>
        <v/>
      </c>
      <c r="O153" s="251" t="str">
        <f t="shared" si="16"/>
        <v/>
      </c>
      <c r="P153" s="251" t="str">
        <f t="shared" si="17"/>
        <v/>
      </c>
      <c r="Q153" s="251" t="str">
        <f t="shared" si="18"/>
        <v/>
      </c>
      <c r="R153" s="251" t="str">
        <f t="shared" si="19"/>
        <v/>
      </c>
      <c r="S153" s="252" t="str">
        <f t="shared" si="20"/>
        <v/>
      </c>
      <c r="T153" s="253"/>
      <c r="U153" s="254">
        <v>0.41099999999999998</v>
      </c>
      <c r="V153" s="254">
        <v>0.40899999999999997</v>
      </c>
      <c r="W153" s="254">
        <v>0.40699999999999997</v>
      </c>
      <c r="X153" s="254">
        <v>0.4</v>
      </c>
      <c r="Y153" s="254">
        <v>0.39800000000000002</v>
      </c>
      <c r="Z153" s="254">
        <v>0.39200000000000002</v>
      </c>
      <c r="AA153" s="249"/>
      <c r="AB153" s="270"/>
      <c r="AC153" s="270"/>
      <c r="AD153" s="270"/>
      <c r="AE153" s="270"/>
      <c r="AF153" s="270"/>
      <c r="AG153" s="270"/>
      <c r="AH153" s="249"/>
      <c r="AI153" s="249"/>
      <c r="AJ153" s="249"/>
      <c r="AK153" s="249"/>
      <c r="AL153" s="249"/>
      <c r="AM153" s="249"/>
      <c r="AN153" s="249"/>
      <c r="AO153" s="249"/>
    </row>
    <row r="154" spans="2:41" x14ac:dyDescent="0.35">
      <c r="B154" s="271"/>
      <c r="C154" s="271"/>
      <c r="D154" s="271"/>
      <c r="E154" s="271"/>
      <c r="F154" s="271"/>
      <c r="G154" s="271"/>
      <c r="H154" s="271"/>
      <c r="I154" s="271"/>
      <c r="M154" s="250">
        <v>23413</v>
      </c>
      <c r="N154" s="251" t="str">
        <f t="shared" si="15"/>
        <v/>
      </c>
      <c r="O154" s="251" t="str">
        <f t="shared" si="16"/>
        <v/>
      </c>
      <c r="P154" s="251" t="str">
        <f t="shared" si="17"/>
        <v/>
      </c>
      <c r="Q154" s="251" t="str">
        <f t="shared" si="18"/>
        <v/>
      </c>
      <c r="R154" s="251" t="str">
        <f t="shared" si="19"/>
        <v/>
      </c>
      <c r="S154" s="252" t="str">
        <f t="shared" si="20"/>
        <v/>
      </c>
      <c r="T154" s="253"/>
      <c r="U154" s="254">
        <v>0.41799999999999998</v>
      </c>
      <c r="V154" s="254">
        <v>0.41699999999999998</v>
      </c>
      <c r="W154" s="254">
        <v>0.41599999999999998</v>
      </c>
      <c r="X154" s="254">
        <v>0.41</v>
      </c>
      <c r="Y154" s="254">
        <v>0.40799999999999997</v>
      </c>
      <c r="Z154" s="254">
        <v>0.40400000000000003</v>
      </c>
      <c r="AA154" s="249"/>
      <c r="AB154" s="270"/>
      <c r="AC154" s="270"/>
      <c r="AD154" s="270"/>
      <c r="AE154" s="270"/>
      <c r="AF154" s="270"/>
      <c r="AG154" s="270"/>
      <c r="AH154" s="249"/>
      <c r="AI154" s="249"/>
      <c r="AJ154" s="249"/>
      <c r="AK154" s="249"/>
      <c r="AL154" s="249"/>
      <c r="AM154" s="249"/>
      <c r="AN154" s="249"/>
      <c r="AO154" s="249"/>
    </row>
    <row r="155" spans="2:41" x14ac:dyDescent="0.35">
      <c r="B155" s="271"/>
      <c r="C155" s="271"/>
      <c r="D155" s="271"/>
      <c r="E155" s="271"/>
      <c r="F155" s="271"/>
      <c r="G155" s="271"/>
      <c r="H155" s="271"/>
      <c r="I155" s="271"/>
      <c r="M155" s="250">
        <v>26014</v>
      </c>
      <c r="N155" s="251" t="str">
        <f t="shared" si="15"/>
        <v/>
      </c>
      <c r="O155" s="251" t="str">
        <f t="shared" si="16"/>
        <v/>
      </c>
      <c r="P155" s="251" t="str">
        <f t="shared" si="17"/>
        <v/>
      </c>
      <c r="Q155" s="251" t="str">
        <f t="shared" si="18"/>
        <v/>
      </c>
      <c r="R155" s="251" t="str">
        <f t="shared" si="19"/>
        <v/>
      </c>
      <c r="S155" s="252" t="str">
        <f t="shared" si="20"/>
        <v/>
      </c>
      <c r="T155" s="253"/>
      <c r="U155" s="254">
        <v>0.42799999999999999</v>
      </c>
      <c r="V155" s="254">
        <v>0.42699999999999999</v>
      </c>
      <c r="W155" s="254">
        <v>0.42599999999999999</v>
      </c>
      <c r="X155" s="254">
        <v>0.41899999999999998</v>
      </c>
      <c r="Y155" s="254">
        <v>0.41699999999999998</v>
      </c>
      <c r="Z155" s="254">
        <v>0.41499999999999998</v>
      </c>
      <c r="AA155" s="249"/>
      <c r="AB155" s="270"/>
      <c r="AC155" s="270"/>
      <c r="AD155" s="270"/>
      <c r="AE155" s="270"/>
      <c r="AF155" s="270"/>
      <c r="AG155" s="270"/>
      <c r="AH155" s="249"/>
      <c r="AI155" s="249"/>
      <c r="AJ155" s="249"/>
      <c r="AK155" s="249"/>
      <c r="AL155" s="249"/>
      <c r="AM155" s="249"/>
      <c r="AN155" s="249"/>
      <c r="AO155" s="249"/>
    </row>
    <row r="156" spans="2:41" x14ac:dyDescent="0.35">
      <c r="B156" s="271"/>
      <c r="C156" s="271"/>
      <c r="D156" s="271"/>
      <c r="E156" s="271"/>
      <c r="F156" s="271"/>
      <c r="G156" s="271"/>
      <c r="H156" s="271"/>
      <c r="I156" s="271"/>
      <c r="M156" s="250">
        <v>26014</v>
      </c>
      <c r="N156" s="251" t="str">
        <f t="shared" si="15"/>
        <v/>
      </c>
      <c r="O156" s="251" t="str">
        <f t="shared" si="16"/>
        <v/>
      </c>
      <c r="P156" s="251" t="str">
        <f t="shared" si="17"/>
        <v/>
      </c>
      <c r="Q156" s="251" t="str">
        <f t="shared" si="18"/>
        <v/>
      </c>
      <c r="R156" s="251" t="str">
        <f t="shared" si="19"/>
        <v/>
      </c>
      <c r="S156" s="252" t="str">
        <f t="shared" si="20"/>
        <v/>
      </c>
      <c r="T156" s="253"/>
      <c r="U156" s="254">
        <v>0.438</v>
      </c>
      <c r="V156" s="254">
        <v>0.437</v>
      </c>
      <c r="W156" s="254">
        <v>0.436</v>
      </c>
      <c r="X156" s="254">
        <v>0.42899999999999999</v>
      </c>
      <c r="Y156" s="254">
        <v>0.42699999999999999</v>
      </c>
      <c r="Z156" s="254">
        <v>0.42499999999999999</v>
      </c>
      <c r="AA156" s="249"/>
      <c r="AB156" s="270"/>
      <c r="AC156" s="270"/>
      <c r="AD156" s="270"/>
      <c r="AE156" s="270"/>
      <c r="AF156" s="270"/>
      <c r="AG156" s="270"/>
      <c r="AH156" s="249"/>
      <c r="AI156" s="249"/>
      <c r="AJ156" s="249"/>
      <c r="AK156" s="249"/>
      <c r="AL156" s="249"/>
      <c r="AM156" s="249"/>
      <c r="AN156" s="249"/>
      <c r="AO156" s="249"/>
    </row>
    <row r="157" spans="2:41" x14ac:dyDescent="0.35">
      <c r="B157" s="271"/>
      <c r="C157" s="271"/>
      <c r="D157" s="271"/>
      <c r="E157" s="271"/>
      <c r="F157" s="271"/>
      <c r="G157" s="271"/>
      <c r="H157" s="271"/>
      <c r="I157" s="271"/>
      <c r="M157" s="250">
        <v>26014</v>
      </c>
      <c r="N157" s="251" t="str">
        <f t="shared" si="15"/>
        <v/>
      </c>
      <c r="O157" s="251" t="str">
        <f t="shared" si="16"/>
        <v/>
      </c>
      <c r="P157" s="251" t="str">
        <f t="shared" si="17"/>
        <v/>
      </c>
      <c r="Q157" s="251" t="str">
        <f t="shared" si="18"/>
        <v/>
      </c>
      <c r="R157" s="251" t="str">
        <f t="shared" si="19"/>
        <v/>
      </c>
      <c r="S157" s="252" t="str">
        <f t="shared" si="20"/>
        <v/>
      </c>
      <c r="T157" s="253"/>
      <c r="U157" s="254">
        <v>0.438</v>
      </c>
      <c r="V157" s="254">
        <v>0.437</v>
      </c>
      <c r="W157" s="254">
        <v>0.436</v>
      </c>
      <c r="X157" s="254">
        <v>0.42899999999999999</v>
      </c>
      <c r="Y157" s="254">
        <v>0.42699999999999999</v>
      </c>
      <c r="Z157" s="254">
        <v>0.42499999999999999</v>
      </c>
      <c r="AA157" s="249"/>
      <c r="AB157" s="270"/>
      <c r="AC157" s="270"/>
      <c r="AD157" s="270"/>
      <c r="AE157" s="270"/>
      <c r="AF157" s="270"/>
      <c r="AG157" s="270"/>
      <c r="AH157" s="249"/>
      <c r="AI157" s="249"/>
      <c r="AJ157" s="249"/>
      <c r="AK157" s="249"/>
      <c r="AL157" s="249"/>
      <c r="AM157" s="249"/>
      <c r="AN157" s="249"/>
      <c r="AO157" s="249"/>
    </row>
    <row r="158" spans="2:41" x14ac:dyDescent="0.35">
      <c r="B158" s="271"/>
      <c r="C158" s="271"/>
      <c r="D158" s="271"/>
      <c r="E158" s="271"/>
      <c r="F158" s="271"/>
      <c r="G158" s="271"/>
      <c r="H158" s="271"/>
      <c r="I158" s="271"/>
      <c r="M158" s="250">
        <v>26014</v>
      </c>
      <c r="N158" s="251" t="str">
        <f t="shared" si="15"/>
        <v/>
      </c>
      <c r="O158" s="251" t="str">
        <f t="shared" si="16"/>
        <v/>
      </c>
      <c r="P158" s="251" t="str">
        <f t="shared" si="17"/>
        <v/>
      </c>
      <c r="Q158" s="251" t="str">
        <f t="shared" si="18"/>
        <v/>
      </c>
      <c r="R158" s="251" t="str">
        <f t="shared" si="19"/>
        <v/>
      </c>
      <c r="S158" s="252" t="str">
        <f t="shared" si="20"/>
        <v/>
      </c>
      <c r="T158" s="253"/>
      <c r="U158" s="254">
        <v>0.438</v>
      </c>
      <c r="V158" s="254">
        <v>0.437</v>
      </c>
      <c r="W158" s="254">
        <v>0.436</v>
      </c>
      <c r="X158" s="254">
        <v>0.42899999999999999</v>
      </c>
      <c r="Y158" s="254">
        <v>0.42699999999999999</v>
      </c>
      <c r="Z158" s="254">
        <v>0.42499999999999999</v>
      </c>
      <c r="AA158" s="249"/>
      <c r="AB158" s="270"/>
      <c r="AC158" s="270"/>
      <c r="AD158" s="270"/>
      <c r="AE158" s="270"/>
      <c r="AF158" s="270"/>
      <c r="AG158" s="270"/>
      <c r="AH158" s="249"/>
      <c r="AI158" s="249"/>
      <c r="AJ158" s="249"/>
      <c r="AK158" s="249"/>
      <c r="AL158" s="249"/>
      <c r="AM158" s="249"/>
      <c r="AN158" s="249"/>
      <c r="AO158" s="249"/>
    </row>
    <row r="159" spans="2:41" x14ac:dyDescent="0.35">
      <c r="B159" s="271"/>
      <c r="C159" s="271"/>
      <c r="D159" s="271"/>
      <c r="E159" s="271"/>
      <c r="F159" s="271"/>
      <c r="G159" s="271"/>
      <c r="H159" s="271"/>
      <c r="I159" s="271"/>
      <c r="M159" s="250">
        <v>26014</v>
      </c>
      <c r="N159" s="251" t="str">
        <f>IF($R$11&gt;=M158+0.01,U159,"")</f>
        <v/>
      </c>
      <c r="O159" s="251" t="str">
        <f>IF($R$11&gt;=M158,V159,"")</f>
        <v/>
      </c>
      <c r="P159" s="251" t="str">
        <f>IF($R$11&gt;=M158,W159,"")</f>
        <v/>
      </c>
      <c r="Q159" s="251" t="str">
        <f>IF($R$11&gt;=M158,X159,"")</f>
        <v/>
      </c>
      <c r="R159" s="252" t="str">
        <f>IF($R$11&gt;=M158,Y159,"")</f>
        <v/>
      </c>
      <c r="S159" s="251" t="str">
        <f>IF($R$11&gt;=M158,Z159,"")</f>
        <v/>
      </c>
      <c r="T159" s="253"/>
      <c r="U159" s="254">
        <v>0.438</v>
      </c>
      <c r="V159" s="254">
        <v>0.437</v>
      </c>
      <c r="W159" s="254">
        <v>0.436</v>
      </c>
      <c r="X159" s="254">
        <v>0.42899999999999999</v>
      </c>
      <c r="Y159" s="254">
        <v>0.42699999999999999</v>
      </c>
      <c r="Z159" s="254">
        <v>0.42499999999999999</v>
      </c>
      <c r="AA159" s="249"/>
      <c r="AB159" s="270"/>
      <c r="AC159" s="270"/>
      <c r="AD159" s="270"/>
      <c r="AE159" s="270"/>
      <c r="AF159" s="270"/>
      <c r="AG159" s="270"/>
      <c r="AH159" s="249"/>
      <c r="AI159" s="249"/>
      <c r="AJ159" s="249"/>
      <c r="AK159" s="249"/>
      <c r="AL159" s="249"/>
      <c r="AM159" s="249"/>
      <c r="AN159" s="249"/>
      <c r="AO159" s="249"/>
    </row>
    <row r="160" spans="2:41" x14ac:dyDescent="0.35">
      <c r="B160" s="271"/>
      <c r="C160" s="271"/>
      <c r="D160" s="271"/>
      <c r="E160" s="271"/>
      <c r="F160" s="271"/>
      <c r="G160" s="271"/>
      <c r="H160" s="271"/>
      <c r="I160" s="271"/>
      <c r="M160" s="249"/>
      <c r="N160" s="257" t="str">
        <f>IF($A$15=1,IF($A$2=3,IF($I$2=0,SUM(N122:N159),""),""),"")</f>
        <v/>
      </c>
      <c r="O160" s="258" t="str">
        <f>IF($A$15=1,IF($A$2=3,IF($I$2=1,SUM(O122:O159),""),""),"")</f>
        <v/>
      </c>
      <c r="P160" s="258" t="str">
        <f>IF($A$15=1,IF($A$2=3,IF($I$2=2,SUM(P122:P159),""),""),"")</f>
        <v/>
      </c>
      <c r="Q160" s="258" t="str">
        <f>IF($A$15=1,IF($A$2=3,IF($I$2=3,SUM(Q122:Q159),""),""),"")</f>
        <v/>
      </c>
      <c r="R160" s="258" t="str">
        <f>IF($A$15=1,IF($A$2=3,IF($I$2=4,SUM(R122:R159),""),""),"")</f>
        <v/>
      </c>
      <c r="S160" s="259" t="str">
        <f>IF($A$15=1,IF($A$2=3,IF($I$2=5,SUM(S122:S159),""),""),"")</f>
        <v/>
      </c>
      <c r="T160" s="260">
        <f>SUM(N160:S160)</f>
        <v>0</v>
      </c>
      <c r="U160" s="253"/>
      <c r="V160" s="253"/>
      <c r="W160" s="253"/>
      <c r="X160" s="253"/>
      <c r="Y160" s="253"/>
      <c r="Z160" s="253"/>
      <c r="AA160" s="249"/>
      <c r="AB160" s="270"/>
      <c r="AC160" s="270"/>
      <c r="AD160" s="270"/>
      <c r="AE160" s="270"/>
      <c r="AF160" s="270"/>
      <c r="AG160" s="270"/>
      <c r="AH160" s="249"/>
      <c r="AI160" s="249"/>
      <c r="AJ160" s="249"/>
      <c r="AK160" s="249"/>
      <c r="AL160" s="249"/>
      <c r="AM160" s="249"/>
      <c r="AN160" s="249"/>
      <c r="AO160" s="249"/>
    </row>
    <row r="161" spans="2:41" x14ac:dyDescent="0.35">
      <c r="B161" s="271"/>
      <c r="C161" s="271"/>
      <c r="D161" s="271"/>
      <c r="E161" s="271"/>
      <c r="F161" s="271"/>
      <c r="G161" s="271"/>
      <c r="H161" s="271"/>
      <c r="I161" s="271"/>
      <c r="M161" s="249"/>
      <c r="N161" s="249"/>
      <c r="O161" s="249"/>
      <c r="P161" s="261"/>
      <c r="Q161" s="249"/>
      <c r="R161" s="261"/>
      <c r="S161" s="249"/>
      <c r="T161" s="253"/>
      <c r="U161" s="253"/>
      <c r="V161" s="253"/>
      <c r="W161" s="253"/>
      <c r="X161" s="253"/>
      <c r="Y161" s="253"/>
      <c r="Z161" s="253"/>
      <c r="AA161" s="249"/>
      <c r="AB161" s="249"/>
      <c r="AC161" s="249"/>
      <c r="AD161" s="249"/>
      <c r="AE161" s="249"/>
      <c r="AF161" s="249"/>
      <c r="AG161" s="249"/>
      <c r="AH161" s="249"/>
      <c r="AI161" s="249"/>
      <c r="AJ161" s="249"/>
      <c r="AK161" s="249"/>
      <c r="AL161" s="249"/>
      <c r="AM161" s="249"/>
      <c r="AN161" s="249"/>
      <c r="AO161" s="249"/>
    </row>
    <row r="162" spans="2:41" x14ac:dyDescent="0.35">
      <c r="B162" s="271"/>
      <c r="C162" s="271"/>
      <c r="D162" s="271"/>
      <c r="E162" s="271"/>
      <c r="F162" s="271"/>
      <c r="G162" s="271"/>
      <c r="H162" s="271"/>
      <c r="I162" s="271"/>
      <c r="M162" s="249"/>
      <c r="N162" s="249"/>
      <c r="O162" s="249"/>
      <c r="P162" s="250"/>
      <c r="Q162" s="249"/>
      <c r="R162" s="249"/>
      <c r="S162" s="249"/>
      <c r="T162" s="253"/>
      <c r="U162" s="253"/>
      <c r="V162" s="253"/>
      <c r="W162" s="253"/>
      <c r="X162" s="253"/>
      <c r="Y162" s="253"/>
      <c r="Z162" s="253"/>
      <c r="AA162" s="249"/>
      <c r="AB162" s="249"/>
      <c r="AC162" s="249"/>
      <c r="AD162" s="249"/>
      <c r="AE162" s="249"/>
      <c r="AF162" s="249"/>
      <c r="AG162" s="249"/>
      <c r="AH162" s="249"/>
      <c r="AI162" s="249"/>
      <c r="AJ162" s="249"/>
      <c r="AK162" s="249"/>
      <c r="AL162" s="249"/>
      <c r="AM162" s="249"/>
      <c r="AN162" s="249"/>
      <c r="AO162" s="249"/>
    </row>
    <row r="163" spans="2:41" x14ac:dyDescent="0.35">
      <c r="B163" s="271"/>
      <c r="C163" s="271"/>
      <c r="D163" s="271"/>
      <c r="E163" s="271"/>
      <c r="F163" s="271"/>
      <c r="G163" s="271"/>
      <c r="H163" s="271"/>
      <c r="I163" s="271"/>
      <c r="M163" s="249"/>
      <c r="N163" s="249"/>
      <c r="O163" s="249"/>
      <c r="P163" s="249"/>
      <c r="Q163" s="249"/>
      <c r="R163" s="249"/>
      <c r="S163" s="249"/>
      <c r="T163" s="253"/>
      <c r="U163" s="253"/>
      <c r="V163" s="253"/>
      <c r="W163" s="253"/>
      <c r="X163" s="253"/>
      <c r="Y163" s="253"/>
      <c r="Z163" s="253"/>
      <c r="AA163" s="249"/>
      <c r="AB163" s="249"/>
      <c r="AC163" s="249"/>
      <c r="AD163" s="249"/>
      <c r="AE163" s="249"/>
      <c r="AF163" s="249"/>
      <c r="AG163" s="249"/>
      <c r="AH163" s="249"/>
      <c r="AI163" s="249"/>
      <c r="AJ163" s="249"/>
      <c r="AK163" s="249"/>
      <c r="AL163" s="249"/>
      <c r="AM163" s="249"/>
      <c r="AN163" s="249"/>
      <c r="AO163" s="249"/>
    </row>
    <row r="164" spans="2:41" x14ac:dyDescent="0.35">
      <c r="B164" s="271"/>
      <c r="C164" s="271"/>
      <c r="D164" s="271"/>
      <c r="E164" s="271"/>
      <c r="F164" s="271"/>
      <c r="G164" s="271"/>
      <c r="H164" s="271"/>
      <c r="I164" s="271"/>
      <c r="M164" s="263" t="s">
        <v>214</v>
      </c>
      <c r="N164" s="272"/>
      <c r="O164" s="273" t="s">
        <v>256</v>
      </c>
      <c r="P164" s="274"/>
      <c r="Q164" s="272"/>
      <c r="R164" s="272"/>
      <c r="S164" s="272"/>
      <c r="T164" s="253"/>
      <c r="U164" s="275" t="str">
        <f>O164</f>
        <v>Tabelas de IRS de retenção na fonte referente a 2022 nos Açores</v>
      </c>
      <c r="V164" s="253"/>
      <c r="W164" s="253"/>
      <c r="X164" s="253"/>
      <c r="Y164" s="253"/>
      <c r="Z164" s="253"/>
      <c r="AA164" s="249"/>
      <c r="AB164" s="249"/>
      <c r="AC164" s="249"/>
      <c r="AD164" s="249"/>
      <c r="AE164" s="249"/>
      <c r="AF164" s="249"/>
      <c r="AG164" s="249"/>
      <c r="AH164" s="249"/>
      <c r="AI164" s="249"/>
      <c r="AJ164" s="249"/>
      <c r="AK164" s="249"/>
      <c r="AL164" s="249"/>
      <c r="AM164" s="249"/>
      <c r="AN164" s="249"/>
      <c r="AO164" s="249"/>
    </row>
    <row r="165" spans="2:41" x14ac:dyDescent="0.35">
      <c r="B165" s="271"/>
      <c r="C165" s="271"/>
      <c r="D165" s="271"/>
      <c r="E165" s="271"/>
      <c r="F165" s="271"/>
      <c r="G165" s="271"/>
      <c r="H165" s="271"/>
      <c r="I165" s="271"/>
      <c r="M165" s="272"/>
      <c r="N165" s="272"/>
      <c r="O165" s="273" t="s">
        <v>150</v>
      </c>
      <c r="P165" s="272"/>
      <c r="Q165" s="272"/>
      <c r="R165" s="272"/>
      <c r="S165" s="272"/>
      <c r="T165" s="253"/>
      <c r="U165" s="275" t="str">
        <f>O165</f>
        <v xml:space="preserve">TABELA I - TRABALHO DEPENDENTE </v>
      </c>
      <c r="V165" s="253"/>
      <c r="W165" s="253"/>
      <c r="X165" s="253"/>
      <c r="Y165" s="253"/>
      <c r="Z165" s="253"/>
      <c r="AA165" s="249"/>
      <c r="AB165" s="249"/>
      <c r="AC165" s="249"/>
      <c r="AD165" s="249"/>
      <c r="AE165" s="249"/>
      <c r="AF165" s="249"/>
      <c r="AG165" s="249"/>
      <c r="AH165" s="249"/>
      <c r="AI165" s="249"/>
      <c r="AJ165" s="249"/>
      <c r="AK165" s="249"/>
      <c r="AL165" s="249"/>
      <c r="AM165" s="249"/>
      <c r="AN165" s="249"/>
      <c r="AO165" s="249"/>
    </row>
    <row r="166" spans="2:41" x14ac:dyDescent="0.35">
      <c r="B166" s="271"/>
      <c r="C166" s="271"/>
      <c r="D166" s="271"/>
      <c r="E166" s="271"/>
      <c r="F166" s="271"/>
      <c r="G166" s="271"/>
      <c r="H166" s="271"/>
      <c r="I166" s="271"/>
      <c r="M166" s="272"/>
      <c r="N166" s="272"/>
      <c r="O166" s="276" t="s">
        <v>182</v>
      </c>
      <c r="P166" s="272"/>
      <c r="Q166" s="272"/>
      <c r="R166" s="272"/>
      <c r="S166" s="272"/>
      <c r="T166" s="253"/>
      <c r="U166" s="275" t="str">
        <f>O166</f>
        <v>Não casado</v>
      </c>
      <c r="V166" s="253"/>
      <c r="W166" s="253"/>
      <c r="X166" s="253"/>
      <c r="Y166" s="253"/>
      <c r="Z166" s="253"/>
      <c r="AA166" s="249"/>
      <c r="AB166" s="249"/>
      <c r="AC166" s="249"/>
      <c r="AD166" s="249"/>
      <c r="AE166" s="249"/>
      <c r="AF166" s="249"/>
      <c r="AG166" s="249"/>
      <c r="AH166" s="249"/>
      <c r="AI166" s="249"/>
      <c r="AJ166" s="249"/>
      <c r="AK166" s="249"/>
      <c r="AL166" s="249"/>
      <c r="AM166" s="249"/>
      <c r="AN166" s="249"/>
      <c r="AO166" s="249"/>
    </row>
    <row r="167" spans="2:41" x14ac:dyDescent="0.35">
      <c r="B167" s="271"/>
      <c r="C167" s="271"/>
      <c r="D167" s="271"/>
      <c r="E167" s="271"/>
      <c r="F167" s="271"/>
      <c r="G167" s="271"/>
      <c r="H167" s="271"/>
      <c r="I167" s="271"/>
      <c r="M167" s="267" t="s">
        <v>154</v>
      </c>
      <c r="N167" s="268" t="s">
        <v>155</v>
      </c>
      <c r="O167" s="268" t="s">
        <v>156</v>
      </c>
      <c r="P167" s="268" t="s">
        <v>157</v>
      </c>
      <c r="Q167" s="268" t="s">
        <v>158</v>
      </c>
      <c r="R167" s="268" t="s">
        <v>159</v>
      </c>
      <c r="S167" s="268" t="s">
        <v>160</v>
      </c>
      <c r="T167" s="253"/>
      <c r="U167" s="269" t="str">
        <f t="shared" ref="U167:Z167" si="21">N167</f>
        <v>0 dep</v>
      </c>
      <c r="V167" s="269" t="str">
        <f t="shared" si="21"/>
        <v>1 dep</v>
      </c>
      <c r="W167" s="269" t="str">
        <f t="shared" si="21"/>
        <v>2 dep</v>
      </c>
      <c r="X167" s="269" t="str">
        <f t="shared" si="21"/>
        <v>3 dep</v>
      </c>
      <c r="Y167" s="269" t="str">
        <f t="shared" si="21"/>
        <v>4 dep</v>
      </c>
      <c r="Z167" s="269" t="str">
        <f t="shared" si="21"/>
        <v>5 dep. ou +</v>
      </c>
      <c r="AA167" s="249"/>
      <c r="AB167" s="249"/>
      <c r="AC167" s="249"/>
      <c r="AD167" s="249"/>
      <c r="AE167" s="249"/>
      <c r="AF167" s="249"/>
      <c r="AG167" s="249"/>
      <c r="AH167" s="249"/>
      <c r="AI167" s="249"/>
      <c r="AJ167" s="249"/>
      <c r="AK167" s="249"/>
      <c r="AL167" s="249"/>
      <c r="AM167" s="249"/>
      <c r="AN167" s="249"/>
      <c r="AO167" s="249"/>
    </row>
    <row r="168" spans="2:41" x14ac:dyDescent="0.35">
      <c r="B168" s="271"/>
      <c r="C168" s="271"/>
      <c r="D168" s="271"/>
      <c r="E168" s="271"/>
      <c r="F168" s="271"/>
      <c r="G168" s="271"/>
      <c r="H168" s="271"/>
      <c r="I168" s="271"/>
      <c r="M168" s="277">
        <v>741</v>
      </c>
      <c r="N168" s="251" t="str">
        <f>IF($R$11&lt;=M168,IF($R$11&gt;=0,0,""),"")</f>
        <v/>
      </c>
      <c r="O168" s="251" t="str">
        <f>IF($R$11&lt;=M168,IF($R$11&gt;=0,0,""),"")</f>
        <v/>
      </c>
      <c r="P168" s="251" t="str">
        <f>IF($R$11&lt;=M168,IF($R$11&gt;=0,0,""),"")</f>
        <v/>
      </c>
      <c r="Q168" s="251" t="str">
        <f>IF($R$11&lt;=M168,IF($R$11&gt;=0,0,""),"")</f>
        <v/>
      </c>
      <c r="R168" s="251" t="str">
        <f>IF($R$11&lt;=M168,IF($R$11&gt;=0,0,""),"")</f>
        <v/>
      </c>
      <c r="S168" s="251" t="str">
        <f>IF($R$11&lt;=M168,IF($R$11&gt;=0,0,""),"")</f>
        <v/>
      </c>
      <c r="T168" s="253"/>
      <c r="U168" s="278">
        <v>0</v>
      </c>
      <c r="V168" s="278">
        <v>0</v>
      </c>
      <c r="W168" s="278">
        <v>0</v>
      </c>
      <c r="X168" s="278">
        <v>0</v>
      </c>
      <c r="Y168" s="278">
        <v>0</v>
      </c>
      <c r="Z168" s="278">
        <v>0</v>
      </c>
      <c r="AA168" s="249"/>
      <c r="AB168" s="249"/>
      <c r="AC168" s="249"/>
      <c r="AD168" s="249"/>
      <c r="AE168" s="249"/>
      <c r="AF168" s="249"/>
      <c r="AG168" s="249"/>
      <c r="AH168" s="249"/>
      <c r="AI168" s="249"/>
      <c r="AJ168" s="249"/>
      <c r="AK168" s="249"/>
      <c r="AL168" s="249"/>
      <c r="AM168" s="249"/>
      <c r="AN168" s="249"/>
      <c r="AO168" s="249"/>
    </row>
    <row r="169" spans="2:41" x14ac:dyDescent="0.35">
      <c r="B169" s="271"/>
      <c r="C169" s="271"/>
      <c r="D169" s="271"/>
      <c r="E169" s="271"/>
      <c r="F169" s="271"/>
      <c r="G169" s="271"/>
      <c r="H169" s="271"/>
      <c r="I169" s="271"/>
      <c r="M169" s="277">
        <v>756</v>
      </c>
      <c r="N169" s="251" t="str">
        <f t="shared" ref="N169:N204" si="22">IF($R$11&lt;=M169,IF($R$11&gt;=M168+0.01,U169,""),"")</f>
        <v/>
      </c>
      <c r="O169" s="251" t="str">
        <f t="shared" ref="O169:O204" si="23">IF($R$11&lt;=M169,IF($R$11&gt;=M168+0.01,V169,""),"")</f>
        <v/>
      </c>
      <c r="P169" s="251" t="str">
        <f t="shared" ref="P169:P204" si="24">IF($R$11&lt;=M169,IF($R$11&gt;=M168+0.01,W169,""),"")</f>
        <v/>
      </c>
      <c r="Q169" s="251" t="str">
        <f t="shared" ref="Q169:Q204" si="25">IF($R$11&lt;=M169,IF($R$11&gt;=M168+0.01,X169,""),"")</f>
        <v/>
      </c>
      <c r="R169" s="251" t="str">
        <f t="shared" ref="R169:R204" si="26">IF($R$11&lt;=M169,IF($R$11&gt;=M168+0.01,Y169,""),"")</f>
        <v/>
      </c>
      <c r="S169" s="252" t="str">
        <f t="shared" ref="S169:S204" si="27">IF($R$11&lt;=M169,IF($R$11&gt;=M168+0.01,Z169,""),"")</f>
        <v/>
      </c>
      <c r="T169" s="253"/>
      <c r="U169" s="278">
        <v>1.2999999999999999E-2</v>
      </c>
      <c r="V169" s="278">
        <v>1E-3</v>
      </c>
      <c r="W169" s="278">
        <v>0</v>
      </c>
      <c r="X169" s="278">
        <v>0</v>
      </c>
      <c r="Y169" s="278">
        <v>0</v>
      </c>
      <c r="Z169" s="278">
        <v>0</v>
      </c>
      <c r="AA169" s="249"/>
      <c r="AB169" s="279"/>
      <c r="AC169" s="279"/>
      <c r="AD169" s="279"/>
      <c r="AE169" s="279"/>
      <c r="AF169" s="279"/>
      <c r="AG169" s="279"/>
      <c r="AH169" s="249"/>
      <c r="AI169" s="249"/>
      <c r="AJ169" s="249"/>
      <c r="AK169" s="249"/>
      <c r="AL169" s="249"/>
      <c r="AM169" s="249"/>
      <c r="AN169" s="249"/>
      <c r="AO169" s="249"/>
    </row>
    <row r="170" spans="2:41" x14ac:dyDescent="0.35">
      <c r="B170" s="271"/>
      <c r="C170" s="271"/>
      <c r="D170" s="271"/>
      <c r="E170" s="271"/>
      <c r="F170" s="271"/>
      <c r="G170" s="271"/>
      <c r="H170" s="271"/>
      <c r="I170" s="271"/>
      <c r="M170" s="277">
        <v>777</v>
      </c>
      <c r="N170" s="251" t="str">
        <f t="shared" si="22"/>
        <v/>
      </c>
      <c r="O170" s="251" t="str">
        <f t="shared" si="23"/>
        <v/>
      </c>
      <c r="P170" s="251" t="str">
        <f t="shared" si="24"/>
        <v/>
      </c>
      <c r="Q170" s="251" t="str">
        <f t="shared" si="25"/>
        <v/>
      </c>
      <c r="R170" s="251" t="str">
        <f t="shared" si="26"/>
        <v/>
      </c>
      <c r="S170" s="252" t="str">
        <f t="shared" si="27"/>
        <v/>
      </c>
      <c r="T170" s="253"/>
      <c r="U170" s="278">
        <v>3.2000000000000001E-2</v>
      </c>
      <c r="V170" s="278">
        <v>4.0000000000000001E-3</v>
      </c>
      <c r="W170" s="278">
        <v>0</v>
      </c>
      <c r="X170" s="278">
        <v>0</v>
      </c>
      <c r="Y170" s="278">
        <v>0</v>
      </c>
      <c r="Z170" s="278">
        <v>0</v>
      </c>
      <c r="AA170" s="249"/>
      <c r="AB170" s="279"/>
      <c r="AC170" s="279"/>
      <c r="AD170" s="279"/>
      <c r="AE170" s="279"/>
      <c r="AF170" s="279"/>
      <c r="AG170" s="279"/>
      <c r="AH170" s="249"/>
      <c r="AI170" s="249"/>
      <c r="AJ170" s="249"/>
      <c r="AK170" s="249"/>
      <c r="AL170" s="249"/>
      <c r="AM170" s="249"/>
      <c r="AN170" s="249"/>
      <c r="AO170" s="249"/>
    </row>
    <row r="171" spans="2:41" x14ac:dyDescent="0.35">
      <c r="B171" s="271"/>
      <c r="C171" s="271"/>
      <c r="D171" s="271"/>
      <c r="E171" s="271"/>
      <c r="F171" s="271"/>
      <c r="G171" s="271"/>
      <c r="H171" s="271"/>
      <c r="I171" s="271"/>
      <c r="M171" s="277">
        <v>792</v>
      </c>
      <c r="N171" s="251" t="str">
        <f t="shared" si="22"/>
        <v/>
      </c>
      <c r="O171" s="251" t="str">
        <f t="shared" si="23"/>
        <v/>
      </c>
      <c r="P171" s="251" t="str">
        <f t="shared" si="24"/>
        <v/>
      </c>
      <c r="Q171" s="251" t="str">
        <f t="shared" si="25"/>
        <v/>
      </c>
      <c r="R171" s="251" t="str">
        <f t="shared" si="26"/>
        <v/>
      </c>
      <c r="S171" s="252" t="str">
        <f t="shared" si="27"/>
        <v/>
      </c>
      <c r="T171" s="253"/>
      <c r="U171" s="278">
        <v>4.3999999999999997E-2</v>
      </c>
      <c r="V171" s="278">
        <v>6.0000000000000001E-3</v>
      </c>
      <c r="W171" s="278">
        <v>0</v>
      </c>
      <c r="X171" s="278">
        <v>0</v>
      </c>
      <c r="Y171" s="278">
        <v>0</v>
      </c>
      <c r="Z171" s="278">
        <v>0</v>
      </c>
      <c r="AA171" s="249"/>
      <c r="AB171" s="279"/>
      <c r="AC171" s="279"/>
      <c r="AD171" s="279"/>
      <c r="AE171" s="279"/>
      <c r="AF171" s="279"/>
      <c r="AG171" s="279"/>
      <c r="AH171" s="249"/>
      <c r="AI171" s="249"/>
      <c r="AJ171" s="249"/>
      <c r="AK171" s="249"/>
      <c r="AL171" s="249"/>
      <c r="AM171" s="249"/>
      <c r="AN171" s="249"/>
      <c r="AO171" s="249"/>
    </row>
    <row r="172" spans="2:41" x14ac:dyDescent="0.35">
      <c r="M172" s="277">
        <v>855</v>
      </c>
      <c r="N172" s="251" t="str">
        <f t="shared" si="22"/>
        <v/>
      </c>
      <c r="O172" s="251" t="str">
        <f t="shared" si="23"/>
        <v/>
      </c>
      <c r="P172" s="251" t="str">
        <f t="shared" si="24"/>
        <v/>
      </c>
      <c r="Q172" s="251" t="str">
        <f t="shared" si="25"/>
        <v/>
      </c>
      <c r="R172" s="251" t="str">
        <f t="shared" si="26"/>
        <v/>
      </c>
      <c r="S172" s="252" t="str">
        <f t="shared" si="27"/>
        <v/>
      </c>
      <c r="T172" s="253"/>
      <c r="U172" s="278">
        <v>5.5E-2</v>
      </c>
      <c r="V172" s="278">
        <v>3.1E-2</v>
      </c>
      <c r="W172" s="278">
        <v>5.0000000000000001E-3</v>
      </c>
      <c r="X172" s="278">
        <v>0</v>
      </c>
      <c r="Y172" s="278">
        <v>0</v>
      </c>
      <c r="Z172" s="278">
        <v>0</v>
      </c>
      <c r="AA172" s="249"/>
      <c r="AB172" s="279"/>
      <c r="AC172" s="279"/>
      <c r="AD172" s="279"/>
      <c r="AE172" s="279"/>
      <c r="AF172" s="279"/>
      <c r="AG172" s="279"/>
      <c r="AH172" s="249"/>
      <c r="AI172" s="249"/>
      <c r="AJ172" s="249"/>
      <c r="AK172" s="249"/>
      <c r="AL172" s="249"/>
      <c r="AM172" s="249"/>
      <c r="AN172" s="249"/>
      <c r="AO172" s="249"/>
    </row>
    <row r="173" spans="2:41" x14ac:dyDescent="0.35">
      <c r="M173" s="277">
        <v>931</v>
      </c>
      <c r="N173" s="251" t="str">
        <f t="shared" si="22"/>
        <v/>
      </c>
      <c r="O173" s="251" t="str">
        <f t="shared" si="23"/>
        <v/>
      </c>
      <c r="P173" s="251" t="str">
        <f t="shared" si="24"/>
        <v/>
      </c>
      <c r="Q173" s="251" t="str">
        <f t="shared" si="25"/>
        <v/>
      </c>
      <c r="R173" s="251" t="str">
        <f t="shared" si="26"/>
        <v/>
      </c>
      <c r="S173" s="252" t="str">
        <f t="shared" si="27"/>
        <v/>
      </c>
      <c r="T173" s="253"/>
      <c r="U173" s="278">
        <v>6.9999999999999993E-2</v>
      </c>
      <c r="V173" s="278">
        <v>4.5999999999999999E-2</v>
      </c>
      <c r="W173" s="278">
        <v>2.2999999999999996E-2</v>
      </c>
      <c r="X173" s="278">
        <v>0</v>
      </c>
      <c r="Y173" s="278">
        <v>0</v>
      </c>
      <c r="Z173" s="278">
        <v>0</v>
      </c>
      <c r="AA173" s="249"/>
      <c r="AB173" s="279"/>
      <c r="AC173" s="279"/>
      <c r="AD173" s="279"/>
      <c r="AE173" s="279"/>
      <c r="AF173" s="279"/>
      <c r="AG173" s="279"/>
      <c r="AH173" s="249"/>
      <c r="AI173" s="249"/>
      <c r="AJ173" s="249"/>
      <c r="AK173" s="249"/>
      <c r="AL173" s="249"/>
      <c r="AM173" s="249"/>
      <c r="AN173" s="249"/>
      <c r="AO173" s="249"/>
    </row>
    <row r="174" spans="2:41" x14ac:dyDescent="0.35">
      <c r="M174" s="277">
        <v>1015</v>
      </c>
      <c r="N174" s="251" t="str">
        <f t="shared" si="22"/>
        <v/>
      </c>
      <c r="O174" s="251" t="str">
        <f t="shared" si="23"/>
        <v/>
      </c>
      <c r="P174" s="251" t="str">
        <f t="shared" si="24"/>
        <v/>
      </c>
      <c r="Q174" s="251" t="str">
        <f t="shared" si="25"/>
        <v/>
      </c>
      <c r="R174" s="251" t="str">
        <f t="shared" si="26"/>
        <v/>
      </c>
      <c r="S174" s="252" t="str">
        <f t="shared" si="27"/>
        <v/>
      </c>
      <c r="T174" s="253"/>
      <c r="U174" s="278">
        <v>7.9000000000000001E-2</v>
      </c>
      <c r="V174" s="278">
        <v>5.5E-2</v>
      </c>
      <c r="W174" s="278">
        <v>3.7999999999999999E-2</v>
      </c>
      <c r="X174" s="278">
        <v>7.9999999999999967E-3</v>
      </c>
      <c r="Y174" s="278">
        <v>0</v>
      </c>
      <c r="Z174" s="278">
        <v>0</v>
      </c>
      <c r="AA174" s="249"/>
      <c r="AB174" s="279"/>
      <c r="AC174" s="279"/>
      <c r="AD174" s="279"/>
      <c r="AE174" s="279"/>
      <c r="AF174" s="279"/>
      <c r="AG174" s="279"/>
      <c r="AH174" s="249"/>
      <c r="AI174" s="249"/>
      <c r="AJ174" s="249"/>
      <c r="AK174" s="249"/>
      <c r="AL174" s="249"/>
      <c r="AM174" s="249"/>
      <c r="AN174" s="249"/>
      <c r="AO174" s="249"/>
    </row>
    <row r="175" spans="2:41" x14ac:dyDescent="0.35">
      <c r="M175" s="277">
        <v>1075</v>
      </c>
      <c r="N175" s="251" t="str">
        <f t="shared" si="22"/>
        <v/>
      </c>
      <c r="O175" s="251" t="str">
        <f t="shared" si="23"/>
        <v/>
      </c>
      <c r="P175" s="251" t="str">
        <f t="shared" si="24"/>
        <v/>
      </c>
      <c r="Q175" s="251" t="str">
        <f t="shared" si="25"/>
        <v/>
      </c>
      <c r="R175" s="251" t="str">
        <f t="shared" si="26"/>
        <v/>
      </c>
      <c r="S175" s="252" t="str">
        <f t="shared" si="27"/>
        <v/>
      </c>
      <c r="T175" s="253"/>
      <c r="U175" s="278">
        <v>8.5000000000000006E-2</v>
      </c>
      <c r="V175" s="278">
        <v>6.2E-2</v>
      </c>
      <c r="W175" s="278">
        <v>4.5999999999999999E-2</v>
      </c>
      <c r="X175" s="278">
        <v>2.2999999999999996E-2</v>
      </c>
      <c r="Y175" s="278">
        <v>0</v>
      </c>
      <c r="Z175" s="278">
        <v>0</v>
      </c>
      <c r="AA175" s="249"/>
      <c r="AB175" s="279"/>
      <c r="AC175" s="279"/>
      <c r="AD175" s="279"/>
      <c r="AE175" s="279"/>
      <c r="AF175" s="279"/>
      <c r="AG175" s="279"/>
      <c r="AH175" s="249"/>
      <c r="AI175" s="249"/>
      <c r="AJ175" s="249"/>
      <c r="AK175" s="249"/>
      <c r="AL175" s="249"/>
      <c r="AM175" s="249"/>
      <c r="AN175" s="249"/>
      <c r="AO175" s="249"/>
    </row>
    <row r="176" spans="2:41" x14ac:dyDescent="0.35">
      <c r="M176" s="277">
        <v>1154</v>
      </c>
      <c r="N176" s="251" t="str">
        <f t="shared" si="22"/>
        <v/>
      </c>
      <c r="O176" s="251" t="str">
        <f t="shared" si="23"/>
        <v/>
      </c>
      <c r="P176" s="251" t="str">
        <f t="shared" si="24"/>
        <v/>
      </c>
      <c r="Q176" s="251" t="str">
        <f t="shared" si="25"/>
        <v/>
      </c>
      <c r="R176" s="251" t="str">
        <f t="shared" si="26"/>
        <v/>
      </c>
      <c r="S176" s="252" t="str">
        <f t="shared" si="27"/>
        <v/>
      </c>
      <c r="T176" s="253"/>
      <c r="U176" s="278">
        <v>9.1999999999999998E-2</v>
      </c>
      <c r="V176" s="278">
        <v>7.4999999999999997E-2</v>
      </c>
      <c r="W176" s="278">
        <v>5.8000000000000003E-2</v>
      </c>
      <c r="X176" s="278">
        <v>3.4999999999999996E-2</v>
      </c>
      <c r="Y176" s="278">
        <v>1.7999999999999999E-2</v>
      </c>
      <c r="Z176" s="278">
        <v>0</v>
      </c>
      <c r="AA176" s="249"/>
      <c r="AB176" s="279"/>
      <c r="AC176" s="279"/>
      <c r="AD176" s="279"/>
      <c r="AE176" s="279"/>
      <c r="AF176" s="279"/>
      <c r="AG176" s="279"/>
      <c r="AH176" s="249"/>
      <c r="AI176" s="249"/>
      <c r="AJ176" s="249"/>
      <c r="AK176" s="249"/>
      <c r="AL176" s="249"/>
      <c r="AM176" s="249"/>
      <c r="AN176" s="249"/>
      <c r="AO176" s="249"/>
    </row>
    <row r="177" spans="13:41" x14ac:dyDescent="0.35">
      <c r="M177" s="277">
        <v>1237</v>
      </c>
      <c r="N177" s="251" t="str">
        <f t="shared" si="22"/>
        <v/>
      </c>
      <c r="O177" s="251" t="str">
        <f t="shared" si="23"/>
        <v/>
      </c>
      <c r="P177" s="251" t="str">
        <f t="shared" si="24"/>
        <v/>
      </c>
      <c r="Q177" s="251" t="str">
        <f t="shared" si="25"/>
        <v/>
      </c>
      <c r="R177" s="251" t="str">
        <f t="shared" si="26"/>
        <v/>
      </c>
      <c r="S177" s="252" t="str">
        <f t="shared" si="27"/>
        <v/>
      </c>
      <c r="T177" s="253"/>
      <c r="U177" s="278">
        <v>9.9000000000000005E-2</v>
      </c>
      <c r="V177" s="278">
        <v>8.3000000000000004E-2</v>
      </c>
      <c r="W177" s="278">
        <v>6.5000000000000002E-2</v>
      </c>
      <c r="X177" s="278">
        <v>4.2999999999999997E-2</v>
      </c>
      <c r="Y177" s="278">
        <v>2.4999999999999998E-2</v>
      </c>
      <c r="Z177" s="278">
        <v>7.0000000000000001E-3</v>
      </c>
      <c r="AA177" s="249"/>
      <c r="AB177" s="279"/>
      <c r="AC177" s="279"/>
      <c r="AD177" s="279"/>
      <c r="AE177" s="279"/>
      <c r="AF177" s="279"/>
      <c r="AG177" s="279"/>
      <c r="AH177" s="249"/>
      <c r="AI177" s="249"/>
      <c r="AJ177" s="249"/>
      <c r="AK177" s="249"/>
      <c r="AL177" s="249"/>
      <c r="AM177" s="249"/>
      <c r="AN177" s="249"/>
      <c r="AO177" s="249"/>
    </row>
    <row r="178" spans="13:41" x14ac:dyDescent="0.35">
      <c r="M178" s="277">
        <v>1333</v>
      </c>
      <c r="N178" s="251" t="str">
        <f t="shared" si="22"/>
        <v/>
      </c>
      <c r="O178" s="251" t="str">
        <f t="shared" si="23"/>
        <v/>
      </c>
      <c r="P178" s="251" t="str">
        <f t="shared" si="24"/>
        <v/>
      </c>
      <c r="Q178" s="251" t="str">
        <f t="shared" si="25"/>
        <v/>
      </c>
      <c r="R178" s="251" t="str">
        <f t="shared" si="26"/>
        <v/>
      </c>
      <c r="S178" s="252" t="str">
        <f t="shared" si="27"/>
        <v/>
      </c>
      <c r="T178" s="253"/>
      <c r="U178" s="278">
        <v>0.106</v>
      </c>
      <c r="V178" s="278">
        <v>0.09</v>
      </c>
      <c r="W178" s="278">
        <v>7.3999999999999996E-2</v>
      </c>
      <c r="X178" s="278">
        <v>4.9000000000000002E-2</v>
      </c>
      <c r="Y178" s="278">
        <v>3.2000000000000001E-2</v>
      </c>
      <c r="Z178" s="278">
        <v>1.4999999999999996E-2</v>
      </c>
      <c r="AA178" s="249"/>
      <c r="AB178" s="279"/>
      <c r="AC178" s="279"/>
      <c r="AD178" s="279"/>
      <c r="AE178" s="279"/>
      <c r="AF178" s="279"/>
      <c r="AG178" s="279"/>
      <c r="AH178" s="249"/>
      <c r="AI178" s="249"/>
      <c r="AJ178" s="249"/>
      <c r="AK178" s="249"/>
      <c r="AL178" s="249"/>
      <c r="AM178" s="249"/>
      <c r="AN178" s="249"/>
      <c r="AO178" s="249"/>
    </row>
    <row r="179" spans="13:41" x14ac:dyDescent="0.35">
      <c r="M179" s="277">
        <v>1437</v>
      </c>
      <c r="N179" s="251" t="str">
        <f t="shared" si="22"/>
        <v/>
      </c>
      <c r="O179" s="251" t="str">
        <f t="shared" si="23"/>
        <v/>
      </c>
      <c r="P179" s="251" t="str">
        <f t="shared" si="24"/>
        <v/>
      </c>
      <c r="Q179" s="251" t="str">
        <f t="shared" si="25"/>
        <v/>
      </c>
      <c r="R179" s="251" t="str">
        <f t="shared" si="26"/>
        <v/>
      </c>
      <c r="S179" s="252" t="str">
        <f t="shared" si="27"/>
        <v/>
      </c>
      <c r="T179" s="253"/>
      <c r="U179" s="278">
        <v>0.113</v>
      </c>
      <c r="V179" s="278">
        <v>9.7000000000000003E-2</v>
      </c>
      <c r="W179" s="278">
        <v>0.08</v>
      </c>
      <c r="X179" s="278">
        <v>5.6000000000000001E-2</v>
      </c>
      <c r="Y179" s="278">
        <v>4.5999999999999999E-2</v>
      </c>
      <c r="Z179" s="278">
        <v>2.7999999999999997E-2</v>
      </c>
      <c r="AA179" s="249"/>
      <c r="AB179" s="279"/>
      <c r="AC179" s="279"/>
      <c r="AD179" s="279"/>
      <c r="AE179" s="279"/>
      <c r="AF179" s="279"/>
      <c r="AG179" s="279"/>
      <c r="AH179" s="249"/>
      <c r="AI179" s="249"/>
      <c r="AJ179" s="249"/>
      <c r="AK179" s="249"/>
      <c r="AL179" s="249"/>
      <c r="AM179" s="249"/>
      <c r="AN179" s="249"/>
      <c r="AO179" s="249"/>
    </row>
    <row r="180" spans="13:41" x14ac:dyDescent="0.35">
      <c r="M180" s="277">
        <v>1577</v>
      </c>
      <c r="N180" s="251" t="str">
        <f t="shared" si="22"/>
        <v/>
      </c>
      <c r="O180" s="251" t="str">
        <f t="shared" si="23"/>
        <v/>
      </c>
      <c r="P180" s="251" t="str">
        <f t="shared" si="24"/>
        <v/>
      </c>
      <c r="Q180" s="251" t="str">
        <f t="shared" si="25"/>
        <v/>
      </c>
      <c r="R180" s="251" t="str">
        <f t="shared" si="26"/>
        <v/>
      </c>
      <c r="S180" s="252" t="str">
        <f t="shared" si="27"/>
        <v/>
      </c>
      <c r="T180" s="253"/>
      <c r="U180" s="278">
        <v>0.12</v>
      </c>
      <c r="V180" s="278">
        <v>0.104</v>
      </c>
      <c r="W180" s="278">
        <v>8.5999999999999993E-2</v>
      </c>
      <c r="X180" s="278">
        <v>7.0000000000000007E-2</v>
      </c>
      <c r="Y180" s="278">
        <v>5.2999999999999999E-2</v>
      </c>
      <c r="Z180" s="278">
        <v>3.4999999999999996E-2</v>
      </c>
      <c r="AA180" s="249"/>
      <c r="AB180" s="279"/>
      <c r="AC180" s="279"/>
      <c r="AD180" s="279"/>
      <c r="AE180" s="279"/>
      <c r="AF180" s="279"/>
      <c r="AG180" s="279"/>
      <c r="AH180" s="249"/>
      <c r="AI180" s="249"/>
      <c r="AJ180" s="249"/>
      <c r="AK180" s="249"/>
      <c r="AL180" s="249"/>
      <c r="AM180" s="249"/>
      <c r="AN180" s="249"/>
      <c r="AO180" s="249"/>
    </row>
    <row r="181" spans="13:41" x14ac:dyDescent="0.35">
      <c r="M181" s="277">
        <v>1727</v>
      </c>
      <c r="N181" s="251">
        <f t="shared" si="22"/>
        <v>0.13</v>
      </c>
      <c r="O181" s="251">
        <f t="shared" si="23"/>
        <v>0.114</v>
      </c>
      <c r="P181" s="251">
        <f t="shared" si="24"/>
        <v>0.104</v>
      </c>
      <c r="Q181" s="251">
        <f t="shared" si="25"/>
        <v>0.08</v>
      </c>
      <c r="R181" s="251">
        <f t="shared" si="26"/>
        <v>6.2E-2</v>
      </c>
      <c r="S181" s="252">
        <f t="shared" si="27"/>
        <v>4.5999999999999999E-2</v>
      </c>
      <c r="T181" s="253"/>
      <c r="U181" s="278">
        <v>0.13</v>
      </c>
      <c r="V181" s="278">
        <v>0.114</v>
      </c>
      <c r="W181" s="278">
        <v>0.104</v>
      </c>
      <c r="X181" s="278">
        <v>0.08</v>
      </c>
      <c r="Y181" s="278">
        <v>6.2E-2</v>
      </c>
      <c r="Z181" s="278">
        <v>4.5999999999999999E-2</v>
      </c>
      <c r="AA181" s="249"/>
      <c r="AB181" s="279"/>
      <c r="AC181" s="279"/>
      <c r="AD181" s="279"/>
      <c r="AE181" s="279"/>
      <c r="AF181" s="279"/>
      <c r="AG181" s="279"/>
      <c r="AH181" s="249"/>
      <c r="AI181" s="249"/>
      <c r="AJ181" s="249"/>
      <c r="AK181" s="249"/>
      <c r="AL181" s="249"/>
      <c r="AM181" s="249"/>
      <c r="AN181" s="249"/>
      <c r="AO181" s="249"/>
    </row>
    <row r="182" spans="13:41" x14ac:dyDescent="0.35">
      <c r="M182" s="277">
        <v>1887</v>
      </c>
      <c r="N182" s="251" t="str">
        <f t="shared" si="22"/>
        <v/>
      </c>
      <c r="O182" s="251" t="str">
        <f t="shared" si="23"/>
        <v/>
      </c>
      <c r="P182" s="251" t="str">
        <f t="shared" si="24"/>
        <v/>
      </c>
      <c r="Q182" s="251" t="str">
        <f t="shared" si="25"/>
        <v/>
      </c>
      <c r="R182" s="251" t="str">
        <f t="shared" si="26"/>
        <v/>
      </c>
      <c r="S182" s="252" t="str">
        <f t="shared" si="27"/>
        <v/>
      </c>
      <c r="T182" s="253"/>
      <c r="U182" s="278">
        <v>0.13900000000000001</v>
      </c>
      <c r="V182" s="278">
        <v>0.127</v>
      </c>
      <c r="W182" s="278">
        <v>0.121</v>
      </c>
      <c r="X182" s="278">
        <v>0.10199999999999999</v>
      </c>
      <c r="Y182" s="278">
        <v>8.7999999999999995E-2</v>
      </c>
      <c r="Z182" s="278">
        <v>8.2000000000000003E-2</v>
      </c>
      <c r="AA182" s="249"/>
      <c r="AB182" s="279"/>
      <c r="AC182" s="279"/>
      <c r="AD182" s="279"/>
      <c r="AE182" s="279"/>
      <c r="AF182" s="279"/>
      <c r="AG182" s="279"/>
      <c r="AH182" s="249"/>
      <c r="AI182" s="249"/>
      <c r="AJ182" s="249"/>
      <c r="AK182" s="249"/>
      <c r="AL182" s="249"/>
      <c r="AM182" s="249"/>
      <c r="AN182" s="249"/>
      <c r="AO182" s="249"/>
    </row>
    <row r="183" spans="13:41" x14ac:dyDescent="0.35">
      <c r="M183" s="277">
        <v>1995</v>
      </c>
      <c r="N183" s="251" t="str">
        <f t="shared" si="22"/>
        <v/>
      </c>
      <c r="O183" s="251" t="str">
        <f t="shared" si="23"/>
        <v/>
      </c>
      <c r="P183" s="251" t="str">
        <f t="shared" si="24"/>
        <v/>
      </c>
      <c r="Q183" s="251" t="str">
        <f t="shared" si="25"/>
        <v/>
      </c>
      <c r="R183" s="251" t="str">
        <f t="shared" si="26"/>
        <v/>
      </c>
      <c r="S183" s="252" t="str">
        <f t="shared" si="27"/>
        <v/>
      </c>
      <c r="T183" s="253"/>
      <c r="U183" s="278">
        <v>0.14599999999999999</v>
      </c>
      <c r="V183" s="278">
        <v>0.13500000000000001</v>
      </c>
      <c r="W183" s="278">
        <v>0.127</v>
      </c>
      <c r="X183" s="278">
        <v>0.109</v>
      </c>
      <c r="Y183" s="278">
        <v>0.10199999999999999</v>
      </c>
      <c r="Z183" s="278">
        <v>8.7999999999999995E-2</v>
      </c>
      <c r="AA183" s="249"/>
      <c r="AB183" s="279"/>
      <c r="AC183" s="279"/>
      <c r="AD183" s="279"/>
      <c r="AE183" s="279"/>
      <c r="AF183" s="279"/>
      <c r="AG183" s="279"/>
      <c r="AH183" s="249"/>
      <c r="AI183" s="249"/>
      <c r="AJ183" s="249"/>
      <c r="AK183" s="249"/>
      <c r="AL183" s="249"/>
      <c r="AM183" s="249"/>
      <c r="AN183" s="249"/>
      <c r="AO183" s="249"/>
    </row>
    <row r="184" spans="13:41" x14ac:dyDescent="0.35">
      <c r="M184" s="277">
        <v>2109</v>
      </c>
      <c r="N184" s="251" t="str">
        <f t="shared" si="22"/>
        <v/>
      </c>
      <c r="O184" s="251" t="str">
        <f t="shared" si="23"/>
        <v/>
      </c>
      <c r="P184" s="251" t="str">
        <f t="shared" si="24"/>
        <v/>
      </c>
      <c r="Q184" s="251" t="str">
        <f t="shared" si="25"/>
        <v/>
      </c>
      <c r="R184" s="251" t="str">
        <f t="shared" si="26"/>
        <v/>
      </c>
      <c r="S184" s="252" t="str">
        <f t="shared" si="27"/>
        <v/>
      </c>
      <c r="T184" s="253"/>
      <c r="U184" s="278">
        <v>0.153</v>
      </c>
      <c r="V184" s="278">
        <v>0.14099999999999999</v>
      </c>
      <c r="W184" s="278">
        <v>0.13400000000000001</v>
      </c>
      <c r="X184" s="278">
        <v>0.115</v>
      </c>
      <c r="Y184" s="278">
        <v>0.109</v>
      </c>
      <c r="Z184" s="278">
        <v>9.5000000000000001E-2</v>
      </c>
      <c r="AA184" s="249"/>
      <c r="AB184" s="279"/>
      <c r="AC184" s="279"/>
      <c r="AD184" s="279"/>
      <c r="AE184" s="279"/>
      <c r="AF184" s="279"/>
      <c r="AG184" s="279"/>
      <c r="AH184" s="249"/>
      <c r="AI184" s="249"/>
      <c r="AJ184" s="249"/>
      <c r="AK184" s="249"/>
      <c r="AL184" s="249"/>
      <c r="AM184" s="249"/>
      <c r="AN184" s="249"/>
      <c r="AO184" s="249"/>
    </row>
    <row r="185" spans="13:41" x14ac:dyDescent="0.35">
      <c r="M185" s="277">
        <v>2238</v>
      </c>
      <c r="N185" s="251" t="str">
        <f t="shared" si="22"/>
        <v/>
      </c>
      <c r="O185" s="251" t="str">
        <f t="shared" si="23"/>
        <v/>
      </c>
      <c r="P185" s="251" t="str">
        <f t="shared" si="24"/>
        <v/>
      </c>
      <c r="Q185" s="251" t="str">
        <f t="shared" si="25"/>
        <v/>
      </c>
      <c r="R185" s="251" t="str">
        <f t="shared" si="26"/>
        <v/>
      </c>
      <c r="S185" s="252" t="str">
        <f t="shared" si="27"/>
        <v/>
      </c>
      <c r="T185" s="253"/>
      <c r="U185" s="278">
        <v>0.16</v>
      </c>
      <c r="V185" s="278">
        <v>0.14899999999999999</v>
      </c>
      <c r="W185" s="278">
        <v>0.14199999999999999</v>
      </c>
      <c r="X185" s="278">
        <v>0.123</v>
      </c>
      <c r="Y185" s="278">
        <v>0.11600000000000001</v>
      </c>
      <c r="Z185" s="278">
        <v>0.10199999999999999</v>
      </c>
      <c r="AA185" s="249"/>
      <c r="AB185" s="279"/>
      <c r="AC185" s="279"/>
      <c r="AD185" s="279"/>
      <c r="AE185" s="279"/>
      <c r="AF185" s="279"/>
      <c r="AG185" s="279"/>
      <c r="AH185" s="249"/>
      <c r="AI185" s="249"/>
      <c r="AJ185" s="249"/>
      <c r="AK185" s="249"/>
      <c r="AL185" s="249"/>
      <c r="AM185" s="249"/>
      <c r="AN185" s="249"/>
      <c r="AO185" s="249"/>
    </row>
    <row r="186" spans="13:41" x14ac:dyDescent="0.35">
      <c r="M186" s="277">
        <v>2389</v>
      </c>
      <c r="N186" s="251" t="str">
        <f t="shared" si="22"/>
        <v/>
      </c>
      <c r="O186" s="251" t="str">
        <f t="shared" si="23"/>
        <v/>
      </c>
      <c r="P186" s="251" t="str">
        <f t="shared" si="24"/>
        <v/>
      </c>
      <c r="Q186" s="251" t="str">
        <f t="shared" si="25"/>
        <v/>
      </c>
      <c r="R186" s="251" t="str">
        <f t="shared" si="26"/>
        <v/>
      </c>
      <c r="S186" s="252" t="str">
        <f t="shared" si="27"/>
        <v/>
      </c>
      <c r="T186" s="253"/>
      <c r="U186" s="278">
        <v>0.16700000000000001</v>
      </c>
      <c r="V186" s="278">
        <v>0.155</v>
      </c>
      <c r="W186" s="278">
        <v>0.14899999999999999</v>
      </c>
      <c r="X186" s="278">
        <v>0.13</v>
      </c>
      <c r="Y186" s="278">
        <v>0.123</v>
      </c>
      <c r="Z186" s="278">
        <v>0.109</v>
      </c>
      <c r="AA186" s="249"/>
      <c r="AB186" s="279"/>
      <c r="AC186" s="279"/>
      <c r="AD186" s="279"/>
      <c r="AE186" s="279"/>
      <c r="AF186" s="279"/>
      <c r="AG186" s="279"/>
      <c r="AH186" s="249"/>
      <c r="AI186" s="249"/>
      <c r="AJ186" s="249"/>
      <c r="AK186" s="249"/>
      <c r="AL186" s="249"/>
      <c r="AM186" s="249"/>
      <c r="AN186" s="249"/>
      <c r="AO186" s="249"/>
    </row>
    <row r="187" spans="13:41" x14ac:dyDescent="0.35">
      <c r="M187" s="277">
        <v>2558</v>
      </c>
      <c r="N187" s="251" t="str">
        <f t="shared" si="22"/>
        <v/>
      </c>
      <c r="O187" s="251" t="str">
        <f t="shared" si="23"/>
        <v/>
      </c>
      <c r="P187" s="251" t="str">
        <f t="shared" si="24"/>
        <v/>
      </c>
      <c r="Q187" s="251" t="str">
        <f t="shared" si="25"/>
        <v/>
      </c>
      <c r="R187" s="251" t="str">
        <f t="shared" si="26"/>
        <v/>
      </c>
      <c r="S187" s="252" t="str">
        <f t="shared" si="27"/>
        <v/>
      </c>
      <c r="T187" s="253"/>
      <c r="U187" s="278">
        <v>0.17399999999999999</v>
      </c>
      <c r="V187" s="278">
        <v>0.16900000000000001</v>
      </c>
      <c r="W187" s="278">
        <v>0.155</v>
      </c>
      <c r="X187" s="278">
        <v>0.14299999999999999</v>
      </c>
      <c r="Y187" s="278">
        <v>0.13</v>
      </c>
      <c r="Z187" s="278">
        <v>0.123</v>
      </c>
      <c r="AA187" s="249"/>
      <c r="AB187" s="279"/>
      <c r="AC187" s="279"/>
      <c r="AD187" s="279"/>
      <c r="AE187" s="279"/>
      <c r="AF187" s="279"/>
      <c r="AG187" s="279"/>
      <c r="AH187" s="249"/>
      <c r="AI187" s="249"/>
      <c r="AJ187" s="249"/>
      <c r="AK187" s="249"/>
      <c r="AL187" s="249"/>
      <c r="AM187" s="249"/>
      <c r="AN187" s="249"/>
      <c r="AO187" s="249"/>
    </row>
    <row r="188" spans="13:41" x14ac:dyDescent="0.35">
      <c r="M188" s="277">
        <v>2792</v>
      </c>
      <c r="N188" s="251" t="str">
        <f t="shared" si="22"/>
        <v/>
      </c>
      <c r="O188" s="251" t="str">
        <f t="shared" si="23"/>
        <v/>
      </c>
      <c r="P188" s="251" t="str">
        <f t="shared" si="24"/>
        <v/>
      </c>
      <c r="Q188" s="251" t="str">
        <f t="shared" si="25"/>
        <v/>
      </c>
      <c r="R188" s="251" t="str">
        <f t="shared" si="26"/>
        <v/>
      </c>
      <c r="S188" s="252" t="str">
        <f t="shared" si="27"/>
        <v/>
      </c>
      <c r="T188" s="253"/>
      <c r="U188" s="278">
        <v>0.18099999999999999</v>
      </c>
      <c r="V188" s="278">
        <v>0.17599999999999999</v>
      </c>
      <c r="W188" s="278">
        <v>0.16300000000000001</v>
      </c>
      <c r="X188" s="278">
        <v>0.15</v>
      </c>
      <c r="Y188" s="278">
        <v>0.13600000000000001</v>
      </c>
      <c r="Z188" s="278">
        <v>0.13</v>
      </c>
      <c r="AA188" s="249"/>
      <c r="AB188" s="279"/>
      <c r="AC188" s="279"/>
      <c r="AD188" s="279"/>
      <c r="AE188" s="279"/>
      <c r="AF188" s="279"/>
      <c r="AG188" s="279"/>
      <c r="AH188" s="249"/>
      <c r="AI188" s="249"/>
      <c r="AJ188" s="249"/>
      <c r="AK188" s="249"/>
      <c r="AL188" s="249"/>
      <c r="AM188" s="249"/>
      <c r="AN188" s="249"/>
      <c r="AO188" s="249"/>
    </row>
    <row r="189" spans="13:41" x14ac:dyDescent="0.35">
      <c r="M189" s="277">
        <v>3132</v>
      </c>
      <c r="N189" s="251" t="str">
        <f t="shared" si="22"/>
        <v/>
      </c>
      <c r="O189" s="251" t="str">
        <f t="shared" si="23"/>
        <v/>
      </c>
      <c r="P189" s="251" t="str">
        <f t="shared" si="24"/>
        <v/>
      </c>
      <c r="Q189" s="251" t="str">
        <f t="shared" si="25"/>
        <v/>
      </c>
      <c r="R189" s="251" t="str">
        <f t="shared" si="26"/>
        <v/>
      </c>
      <c r="S189" s="252" t="str">
        <f t="shared" si="27"/>
        <v/>
      </c>
      <c r="T189" s="253"/>
      <c r="U189" s="278">
        <v>0.189</v>
      </c>
      <c r="V189" s="278">
        <v>0.185</v>
      </c>
      <c r="W189" s="278">
        <v>0.17199999999999999</v>
      </c>
      <c r="X189" s="278">
        <v>0.158</v>
      </c>
      <c r="Y189" s="278">
        <v>0.14399999999999999</v>
      </c>
      <c r="Z189" s="278">
        <v>0.13700000000000001</v>
      </c>
      <c r="AA189" s="249"/>
      <c r="AB189" s="279"/>
      <c r="AC189" s="279"/>
      <c r="AD189" s="279"/>
      <c r="AE189" s="279"/>
      <c r="AF189" s="279"/>
      <c r="AG189" s="279"/>
      <c r="AH189" s="249"/>
      <c r="AI189" s="249"/>
      <c r="AJ189" s="249"/>
      <c r="AK189" s="249"/>
      <c r="AL189" s="249"/>
      <c r="AM189" s="249"/>
      <c r="AN189" s="249"/>
      <c r="AO189" s="249"/>
    </row>
    <row r="190" spans="13:41" x14ac:dyDescent="0.35">
      <c r="M190" s="277">
        <v>3566</v>
      </c>
      <c r="N190" s="251" t="str">
        <f t="shared" si="22"/>
        <v/>
      </c>
      <c r="O190" s="251" t="str">
        <f t="shared" si="23"/>
        <v/>
      </c>
      <c r="P190" s="251" t="str">
        <f t="shared" si="24"/>
        <v/>
      </c>
      <c r="Q190" s="251" t="str">
        <f t="shared" si="25"/>
        <v/>
      </c>
      <c r="R190" s="251" t="str">
        <f t="shared" si="26"/>
        <v/>
      </c>
      <c r="S190" s="252" t="str">
        <f t="shared" si="27"/>
        <v/>
      </c>
      <c r="T190" s="253"/>
      <c r="U190" s="278">
        <v>0.2</v>
      </c>
      <c r="V190" s="278">
        <v>0.19800000000000001</v>
      </c>
      <c r="W190" s="278">
        <v>0.188</v>
      </c>
      <c r="X190" s="278">
        <v>0.17599999999999999</v>
      </c>
      <c r="Y190" s="278">
        <v>0.17199999999999999</v>
      </c>
      <c r="Z190" s="278">
        <v>0.161</v>
      </c>
      <c r="AA190" s="249"/>
      <c r="AB190" s="279"/>
      <c r="AC190" s="279"/>
      <c r="AD190" s="279"/>
      <c r="AE190" s="279"/>
      <c r="AF190" s="279"/>
      <c r="AG190" s="279"/>
      <c r="AH190" s="249"/>
      <c r="AI190" s="249"/>
      <c r="AJ190" s="249"/>
      <c r="AK190" s="249"/>
      <c r="AL190" s="249"/>
      <c r="AM190" s="249"/>
      <c r="AN190" s="249"/>
      <c r="AO190" s="249"/>
    </row>
    <row r="191" spans="13:41" x14ac:dyDescent="0.35">
      <c r="M191" s="277">
        <v>4156</v>
      </c>
      <c r="N191" s="251" t="str">
        <f t="shared" si="22"/>
        <v/>
      </c>
      <c r="O191" s="251" t="str">
        <f t="shared" si="23"/>
        <v/>
      </c>
      <c r="P191" s="251" t="str">
        <f t="shared" si="24"/>
        <v/>
      </c>
      <c r="Q191" s="251" t="str">
        <f t="shared" si="25"/>
        <v/>
      </c>
      <c r="R191" s="251" t="str">
        <f t="shared" si="26"/>
        <v/>
      </c>
      <c r="S191" s="252" t="str">
        <f t="shared" si="27"/>
        <v/>
      </c>
      <c r="T191" s="253"/>
      <c r="U191" s="278">
        <v>0.20799999999999999</v>
      </c>
      <c r="V191" s="278">
        <v>0.20699999999999999</v>
      </c>
      <c r="W191" s="278">
        <v>0.19400000000000001</v>
      </c>
      <c r="X191" s="278">
        <v>0.183</v>
      </c>
      <c r="Y191" s="278">
        <v>0.17899999999999999</v>
      </c>
      <c r="Z191" s="278">
        <v>0.17499999999999999</v>
      </c>
      <c r="AA191" s="249"/>
      <c r="AB191" s="279"/>
      <c r="AC191" s="279"/>
      <c r="AD191" s="279"/>
      <c r="AE191" s="279"/>
      <c r="AF191" s="279"/>
      <c r="AG191" s="279"/>
      <c r="AH191" s="249"/>
      <c r="AI191" s="249"/>
      <c r="AJ191" s="249"/>
      <c r="AK191" s="249"/>
      <c r="AL191" s="249"/>
      <c r="AM191" s="249"/>
      <c r="AN191" s="249"/>
      <c r="AO191" s="249"/>
    </row>
    <row r="192" spans="13:41" x14ac:dyDescent="0.35">
      <c r="M192" s="277">
        <v>4692</v>
      </c>
      <c r="N192" s="251" t="str">
        <f t="shared" si="22"/>
        <v/>
      </c>
      <c r="O192" s="251" t="str">
        <f t="shared" si="23"/>
        <v/>
      </c>
      <c r="P192" s="251" t="str">
        <f t="shared" si="24"/>
        <v/>
      </c>
      <c r="Q192" s="251" t="str">
        <f t="shared" si="25"/>
        <v/>
      </c>
      <c r="R192" s="251" t="str">
        <f t="shared" si="26"/>
        <v/>
      </c>
      <c r="S192" s="252" t="str">
        <f t="shared" si="27"/>
        <v/>
      </c>
      <c r="T192" s="253"/>
      <c r="U192" s="278">
        <v>0.22</v>
      </c>
      <c r="V192" s="278">
        <v>0.217</v>
      </c>
      <c r="W192" s="278">
        <v>0.20599999999999999</v>
      </c>
      <c r="X192" s="278">
        <v>0.193</v>
      </c>
      <c r="Y192" s="278">
        <v>0.189</v>
      </c>
      <c r="Z192" s="278">
        <v>0.186</v>
      </c>
      <c r="AA192" s="249"/>
      <c r="AB192" s="279"/>
      <c r="AC192" s="279"/>
      <c r="AD192" s="279"/>
      <c r="AE192" s="279"/>
      <c r="AF192" s="279"/>
      <c r="AG192" s="279"/>
      <c r="AH192" s="249"/>
      <c r="AI192" s="249"/>
      <c r="AJ192" s="249"/>
      <c r="AK192" s="249"/>
      <c r="AL192" s="249"/>
      <c r="AM192" s="249"/>
      <c r="AN192" s="249"/>
      <c r="AO192" s="249"/>
    </row>
    <row r="193" spans="13:41" x14ac:dyDescent="0.35">
      <c r="M193" s="277">
        <v>5241</v>
      </c>
      <c r="N193" s="251" t="str">
        <f t="shared" si="22"/>
        <v/>
      </c>
      <c r="O193" s="251" t="str">
        <f t="shared" si="23"/>
        <v/>
      </c>
      <c r="P193" s="251" t="str">
        <f t="shared" si="24"/>
        <v/>
      </c>
      <c r="Q193" s="251" t="str">
        <f t="shared" si="25"/>
        <v/>
      </c>
      <c r="R193" s="251" t="str">
        <f t="shared" si="26"/>
        <v/>
      </c>
      <c r="S193" s="252" t="str">
        <f t="shared" si="27"/>
        <v/>
      </c>
      <c r="T193" s="253"/>
      <c r="U193" s="278">
        <v>0.22600000000000001</v>
      </c>
      <c r="V193" s="278">
        <v>0.223</v>
      </c>
      <c r="W193" s="278">
        <v>0.219</v>
      </c>
      <c r="X193" s="278">
        <v>0.20200000000000001</v>
      </c>
      <c r="Y193" s="278">
        <v>0.19600000000000001</v>
      </c>
      <c r="Z193" s="278">
        <v>0.192</v>
      </c>
      <c r="AA193" s="249"/>
      <c r="AB193" s="279"/>
      <c r="AC193" s="279"/>
      <c r="AD193" s="279"/>
      <c r="AE193" s="279"/>
      <c r="AF193" s="279"/>
      <c r="AG193" s="279"/>
      <c r="AH193" s="249"/>
      <c r="AI193" s="249"/>
      <c r="AJ193" s="249"/>
      <c r="AK193" s="249"/>
      <c r="AL193" s="249"/>
      <c r="AM193" s="249"/>
      <c r="AN193" s="249"/>
      <c r="AO193" s="249"/>
    </row>
    <row r="194" spans="13:41" x14ac:dyDescent="0.35">
      <c r="M194" s="277">
        <v>5933</v>
      </c>
      <c r="N194" s="251" t="str">
        <f t="shared" si="22"/>
        <v/>
      </c>
      <c r="O194" s="251" t="str">
        <f t="shared" si="23"/>
        <v/>
      </c>
      <c r="P194" s="251" t="str">
        <f t="shared" si="24"/>
        <v/>
      </c>
      <c r="Q194" s="251" t="str">
        <f t="shared" si="25"/>
        <v/>
      </c>
      <c r="R194" s="251" t="str">
        <f t="shared" si="26"/>
        <v/>
      </c>
      <c r="S194" s="252" t="str">
        <f t="shared" si="27"/>
        <v/>
      </c>
      <c r="T194" s="253"/>
      <c r="U194" s="278">
        <v>0.23300000000000001</v>
      </c>
      <c r="V194" s="278">
        <v>0.23</v>
      </c>
      <c r="W194" s="278">
        <v>0.22500000000000001</v>
      </c>
      <c r="X194" s="278">
        <v>0.20899999999999999</v>
      </c>
      <c r="Y194" s="278">
        <v>0.20399999999999999</v>
      </c>
      <c r="Z194" s="278">
        <v>0.19900000000000001</v>
      </c>
      <c r="AA194" s="249"/>
      <c r="AB194" s="279"/>
      <c r="AC194" s="279"/>
      <c r="AD194" s="279"/>
      <c r="AE194" s="279"/>
      <c r="AF194" s="279"/>
      <c r="AG194" s="279"/>
      <c r="AH194" s="249"/>
      <c r="AI194" s="249"/>
      <c r="AJ194" s="249"/>
      <c r="AK194" s="249"/>
      <c r="AL194" s="249"/>
      <c r="AM194" s="249"/>
      <c r="AN194" s="249"/>
      <c r="AO194" s="249"/>
    </row>
    <row r="195" spans="13:41" x14ac:dyDescent="0.35">
      <c r="M195" s="277">
        <v>6788</v>
      </c>
      <c r="N195" s="251" t="str">
        <f t="shared" si="22"/>
        <v/>
      </c>
      <c r="O195" s="251" t="str">
        <f t="shared" si="23"/>
        <v/>
      </c>
      <c r="P195" s="251" t="str">
        <f t="shared" si="24"/>
        <v/>
      </c>
      <c r="Q195" s="251" t="str">
        <f t="shared" si="25"/>
        <v/>
      </c>
      <c r="R195" s="251" t="str">
        <f t="shared" si="26"/>
        <v/>
      </c>
      <c r="S195" s="252" t="str">
        <f t="shared" si="27"/>
        <v/>
      </c>
      <c r="T195" s="253"/>
      <c r="U195" s="278">
        <v>0.247</v>
      </c>
      <c r="V195" s="278">
        <v>0.24399999999999999</v>
      </c>
      <c r="W195" s="278">
        <v>0.23899999999999999</v>
      </c>
      <c r="X195" s="278">
        <v>0.22500000000000001</v>
      </c>
      <c r="Y195" s="278">
        <v>0.223</v>
      </c>
      <c r="Z195" s="278">
        <v>0.221</v>
      </c>
      <c r="AA195" s="249"/>
      <c r="AB195" s="279"/>
      <c r="AC195" s="279"/>
      <c r="AD195" s="279"/>
      <c r="AE195" s="279"/>
      <c r="AF195" s="279"/>
      <c r="AG195" s="279"/>
      <c r="AH195" s="249"/>
      <c r="AI195" s="249"/>
      <c r="AJ195" s="249"/>
      <c r="AK195" s="249"/>
      <c r="AL195" s="249"/>
      <c r="AM195" s="249"/>
      <c r="AN195" s="249"/>
      <c r="AO195" s="249"/>
    </row>
    <row r="196" spans="13:41" x14ac:dyDescent="0.35">
      <c r="M196" s="277">
        <v>8011</v>
      </c>
      <c r="N196" s="251" t="str">
        <f t="shared" si="22"/>
        <v/>
      </c>
      <c r="O196" s="251" t="str">
        <f t="shared" si="23"/>
        <v/>
      </c>
      <c r="P196" s="251" t="str">
        <f t="shared" si="24"/>
        <v/>
      </c>
      <c r="Q196" s="251" t="str">
        <f t="shared" si="25"/>
        <v/>
      </c>
      <c r="R196" s="251" t="str">
        <f t="shared" si="26"/>
        <v/>
      </c>
      <c r="S196" s="252" t="str">
        <f t="shared" si="27"/>
        <v/>
      </c>
      <c r="T196" s="253"/>
      <c r="U196" s="278">
        <v>0.254</v>
      </c>
      <c r="V196" s="278">
        <v>0.251</v>
      </c>
      <c r="W196" s="278">
        <v>0.249</v>
      </c>
      <c r="X196" s="278">
        <v>0.23899999999999999</v>
      </c>
      <c r="Y196" s="278">
        <v>0.23</v>
      </c>
      <c r="Z196" s="278">
        <v>0.22700000000000001</v>
      </c>
      <c r="AA196" s="249"/>
      <c r="AB196" s="279"/>
      <c r="AC196" s="279"/>
      <c r="AD196" s="279"/>
      <c r="AE196" s="279"/>
      <c r="AF196" s="279"/>
      <c r="AG196" s="279"/>
      <c r="AH196" s="249"/>
      <c r="AI196" s="249"/>
      <c r="AJ196" s="249"/>
      <c r="AK196" s="249"/>
      <c r="AL196" s="249"/>
      <c r="AM196" s="249"/>
      <c r="AN196" s="249"/>
      <c r="AO196" s="249"/>
    </row>
    <row r="197" spans="13:41" x14ac:dyDescent="0.35">
      <c r="M197" s="277">
        <v>9647</v>
      </c>
      <c r="N197" s="251" t="str">
        <f t="shared" si="22"/>
        <v/>
      </c>
      <c r="O197" s="251" t="str">
        <f t="shared" si="23"/>
        <v/>
      </c>
      <c r="P197" s="251" t="str">
        <f t="shared" si="24"/>
        <v/>
      </c>
      <c r="Q197" s="251" t="str">
        <f t="shared" si="25"/>
        <v/>
      </c>
      <c r="R197" s="251" t="str">
        <f t="shared" si="26"/>
        <v/>
      </c>
      <c r="S197" s="252" t="str">
        <f t="shared" si="27"/>
        <v/>
      </c>
      <c r="T197" s="253"/>
      <c r="U197" s="278">
        <v>0.26700000000000002</v>
      </c>
      <c r="V197" s="278">
        <v>0.26500000000000001</v>
      </c>
      <c r="W197" s="278">
        <v>0.26200000000000001</v>
      </c>
      <c r="X197" s="278">
        <v>0.253</v>
      </c>
      <c r="Y197" s="278">
        <v>0.251</v>
      </c>
      <c r="Z197" s="278">
        <v>0.24099999999999999</v>
      </c>
      <c r="AA197" s="249"/>
      <c r="AB197" s="279"/>
      <c r="AC197" s="279"/>
      <c r="AD197" s="279"/>
      <c r="AE197" s="279"/>
      <c r="AF197" s="279"/>
      <c r="AG197" s="279"/>
      <c r="AH197" s="249"/>
      <c r="AI197" s="249"/>
      <c r="AJ197" s="249"/>
      <c r="AK197" s="249"/>
      <c r="AL197" s="249"/>
      <c r="AM197" s="249"/>
      <c r="AN197" s="249"/>
      <c r="AO197" s="249"/>
    </row>
    <row r="198" spans="13:41" x14ac:dyDescent="0.35">
      <c r="M198" s="277">
        <v>11384</v>
      </c>
      <c r="N198" s="251" t="str">
        <f t="shared" si="22"/>
        <v/>
      </c>
      <c r="O198" s="251" t="str">
        <f t="shared" si="23"/>
        <v/>
      </c>
      <c r="P198" s="251" t="str">
        <f t="shared" si="24"/>
        <v/>
      </c>
      <c r="Q198" s="251" t="str">
        <f t="shared" si="25"/>
        <v/>
      </c>
      <c r="R198" s="251" t="str">
        <f t="shared" si="26"/>
        <v/>
      </c>
      <c r="S198" s="252" t="str">
        <f t="shared" si="27"/>
        <v/>
      </c>
      <c r="T198" s="253"/>
      <c r="U198" s="278">
        <v>0.27400000000000002</v>
      </c>
      <c r="V198" s="278">
        <v>0.27200000000000002</v>
      </c>
      <c r="W198" s="278">
        <v>0.26900000000000002</v>
      </c>
      <c r="X198" s="278">
        <v>0.26300000000000001</v>
      </c>
      <c r="Y198" s="278">
        <v>0.25700000000000001</v>
      </c>
      <c r="Z198" s="278">
        <v>0.248</v>
      </c>
      <c r="AA198" s="249"/>
      <c r="AB198" s="279"/>
      <c r="AC198" s="279"/>
      <c r="AD198" s="279"/>
      <c r="AE198" s="279"/>
      <c r="AF198" s="279"/>
      <c r="AG198" s="279"/>
      <c r="AH198" s="249"/>
      <c r="AI198" s="249"/>
      <c r="AJ198" s="249"/>
      <c r="AK198" s="249"/>
      <c r="AL198" s="249"/>
      <c r="AM198" s="249"/>
      <c r="AN198" s="249"/>
      <c r="AO198" s="249"/>
    </row>
    <row r="199" spans="13:41" x14ac:dyDescent="0.35">
      <c r="M199" s="277">
        <v>19024</v>
      </c>
      <c r="N199" s="251" t="str">
        <f t="shared" si="22"/>
        <v/>
      </c>
      <c r="O199" s="251" t="str">
        <f t="shared" si="23"/>
        <v/>
      </c>
      <c r="P199" s="251" t="str">
        <f t="shared" si="24"/>
        <v/>
      </c>
      <c r="Q199" s="251" t="str">
        <f t="shared" si="25"/>
        <v/>
      </c>
      <c r="R199" s="251" t="str">
        <f t="shared" si="26"/>
        <v/>
      </c>
      <c r="S199" s="252" t="str">
        <f t="shared" si="27"/>
        <v/>
      </c>
      <c r="T199" s="253"/>
      <c r="U199" s="278">
        <v>0.28100000000000003</v>
      </c>
      <c r="V199" s="278">
        <v>0.27900000000000003</v>
      </c>
      <c r="W199" s="278">
        <v>0.27600000000000002</v>
      </c>
      <c r="X199" s="278">
        <v>0.27</v>
      </c>
      <c r="Y199" s="278">
        <v>0.26700000000000002</v>
      </c>
      <c r="Z199" s="278">
        <v>0.255</v>
      </c>
      <c r="AA199" s="249"/>
      <c r="AB199" s="279"/>
      <c r="AC199" s="279"/>
      <c r="AD199" s="279"/>
      <c r="AE199" s="279"/>
      <c r="AF199" s="279"/>
      <c r="AG199" s="279"/>
      <c r="AH199" s="249"/>
      <c r="AI199" s="249"/>
      <c r="AJ199" s="249"/>
      <c r="AK199" s="249"/>
      <c r="AL199" s="249"/>
      <c r="AM199" s="249"/>
      <c r="AN199" s="249"/>
      <c r="AO199" s="249"/>
    </row>
    <row r="200" spans="13:41" x14ac:dyDescent="0.35">
      <c r="M200" s="277">
        <v>20403</v>
      </c>
      <c r="N200" s="251" t="str">
        <f t="shared" si="22"/>
        <v/>
      </c>
      <c r="O200" s="251" t="str">
        <f t="shared" si="23"/>
        <v/>
      </c>
      <c r="P200" s="251" t="str">
        <f t="shared" si="24"/>
        <v/>
      </c>
      <c r="Q200" s="251" t="str">
        <f t="shared" si="25"/>
        <v/>
      </c>
      <c r="R200" s="251" t="str">
        <f t="shared" si="26"/>
        <v/>
      </c>
      <c r="S200" s="252" t="str">
        <f t="shared" si="27"/>
        <v/>
      </c>
      <c r="T200" s="253"/>
      <c r="U200" s="278">
        <v>0.28799999999999998</v>
      </c>
      <c r="V200" s="278">
        <v>0.28599999999999998</v>
      </c>
      <c r="W200" s="278">
        <v>0.28299999999999997</v>
      </c>
      <c r="X200" s="278">
        <v>0.27700000000000002</v>
      </c>
      <c r="Y200" s="278">
        <v>0.27400000000000002</v>
      </c>
      <c r="Z200" s="278">
        <v>0.26100000000000001</v>
      </c>
      <c r="AA200" s="249"/>
      <c r="AB200" s="279"/>
      <c r="AC200" s="279"/>
      <c r="AD200" s="279"/>
      <c r="AE200" s="279"/>
      <c r="AF200" s="279"/>
      <c r="AG200" s="279"/>
      <c r="AH200" s="249"/>
      <c r="AI200" s="249"/>
      <c r="AJ200" s="249"/>
      <c r="AK200" s="249"/>
      <c r="AL200" s="249"/>
      <c r="AM200" s="249"/>
      <c r="AN200" s="249"/>
      <c r="AO200" s="249"/>
    </row>
    <row r="201" spans="13:41" x14ac:dyDescent="0.35">
      <c r="M201" s="277">
        <v>22954</v>
      </c>
      <c r="N201" s="251" t="str">
        <f t="shared" si="22"/>
        <v/>
      </c>
      <c r="O201" s="251" t="str">
        <f t="shared" si="23"/>
        <v/>
      </c>
      <c r="P201" s="251" t="str">
        <f t="shared" si="24"/>
        <v/>
      </c>
      <c r="Q201" s="251" t="str">
        <f t="shared" si="25"/>
        <v/>
      </c>
      <c r="R201" s="251" t="str">
        <f t="shared" si="26"/>
        <v/>
      </c>
      <c r="S201" s="252" t="str">
        <f t="shared" si="27"/>
        <v/>
      </c>
      <c r="T201" s="253"/>
      <c r="U201" s="278">
        <v>0.29299999999999998</v>
      </c>
      <c r="V201" s="278">
        <v>0.29199999999999998</v>
      </c>
      <c r="W201" s="278">
        <v>0.28999999999999998</v>
      </c>
      <c r="X201" s="278">
        <v>0.28399999999999997</v>
      </c>
      <c r="Y201" s="278">
        <v>0.28100000000000003</v>
      </c>
      <c r="Z201" s="278">
        <v>0.27</v>
      </c>
      <c r="AA201" s="249"/>
      <c r="AB201" s="279"/>
      <c r="AC201" s="279"/>
      <c r="AD201" s="279"/>
      <c r="AE201" s="279"/>
      <c r="AF201" s="279"/>
      <c r="AG201" s="279"/>
      <c r="AH201" s="249"/>
      <c r="AI201" s="249"/>
      <c r="AJ201" s="249"/>
      <c r="AK201" s="249"/>
      <c r="AL201" s="249"/>
      <c r="AM201" s="249"/>
      <c r="AN201" s="249"/>
      <c r="AO201" s="249"/>
    </row>
    <row r="202" spans="13:41" x14ac:dyDescent="0.35">
      <c r="M202" s="277">
        <v>25504</v>
      </c>
      <c r="N202" s="251" t="str">
        <f t="shared" si="22"/>
        <v/>
      </c>
      <c r="O202" s="251" t="str">
        <f t="shared" si="23"/>
        <v/>
      </c>
      <c r="P202" s="251" t="str">
        <f t="shared" si="24"/>
        <v/>
      </c>
      <c r="Q202" s="251" t="str">
        <f t="shared" si="25"/>
        <v/>
      </c>
      <c r="R202" s="251" t="str">
        <f t="shared" si="26"/>
        <v/>
      </c>
      <c r="S202" s="252" t="str">
        <f t="shared" si="27"/>
        <v/>
      </c>
      <c r="T202" s="253"/>
      <c r="U202" s="278">
        <v>0.3</v>
      </c>
      <c r="V202" s="278">
        <v>0.29899999999999999</v>
      </c>
      <c r="W202" s="278">
        <v>0.29599999999999999</v>
      </c>
      <c r="X202" s="278">
        <v>0.28999999999999998</v>
      </c>
      <c r="Y202" s="278">
        <v>0.28799999999999998</v>
      </c>
      <c r="Z202" s="278">
        <v>0.27800000000000002</v>
      </c>
      <c r="AA202" s="249"/>
      <c r="AB202" s="279"/>
      <c r="AC202" s="279"/>
      <c r="AD202" s="279"/>
      <c r="AE202" s="279"/>
      <c r="AF202" s="279"/>
      <c r="AG202" s="279"/>
      <c r="AH202" s="249"/>
      <c r="AI202" s="249"/>
      <c r="AJ202" s="249"/>
      <c r="AK202" s="249"/>
      <c r="AL202" s="249"/>
      <c r="AM202" s="249"/>
      <c r="AN202" s="249"/>
      <c r="AO202" s="249"/>
    </row>
    <row r="203" spans="13:41" x14ac:dyDescent="0.35">
      <c r="M203" s="277">
        <v>25504</v>
      </c>
      <c r="N203" s="251" t="str">
        <f t="shared" si="22"/>
        <v/>
      </c>
      <c r="O203" s="251" t="str">
        <f t="shared" si="23"/>
        <v/>
      </c>
      <c r="P203" s="251" t="str">
        <f t="shared" si="24"/>
        <v/>
      </c>
      <c r="Q203" s="251" t="str">
        <f t="shared" si="25"/>
        <v/>
      </c>
      <c r="R203" s="251" t="str">
        <f t="shared" si="26"/>
        <v/>
      </c>
      <c r="S203" s="252" t="str">
        <f t="shared" si="27"/>
        <v/>
      </c>
      <c r="T203" s="253"/>
      <c r="U203" s="278">
        <v>0.307</v>
      </c>
      <c r="V203" s="278">
        <v>0.30499999999999999</v>
      </c>
      <c r="W203" s="278">
        <v>0.30299999999999999</v>
      </c>
      <c r="X203" s="278">
        <v>0.29699999999999999</v>
      </c>
      <c r="Y203" s="278">
        <v>0.29399999999999998</v>
      </c>
      <c r="Z203" s="278">
        <v>0.28499999999999998</v>
      </c>
      <c r="AA203" s="249"/>
      <c r="AB203" s="279"/>
      <c r="AC203" s="279"/>
      <c r="AD203" s="279"/>
      <c r="AE203" s="279"/>
      <c r="AF203" s="279"/>
      <c r="AG203" s="279"/>
      <c r="AH203" s="249"/>
      <c r="AI203" s="249"/>
      <c r="AJ203" s="249"/>
      <c r="AK203" s="249"/>
      <c r="AL203" s="249"/>
      <c r="AM203" s="249"/>
      <c r="AN203" s="249"/>
      <c r="AO203" s="249"/>
    </row>
    <row r="204" spans="13:41" x14ac:dyDescent="0.35">
      <c r="M204" s="277">
        <v>25504</v>
      </c>
      <c r="N204" s="251" t="str">
        <f t="shared" si="22"/>
        <v/>
      </c>
      <c r="O204" s="251" t="str">
        <f t="shared" si="23"/>
        <v/>
      </c>
      <c r="P204" s="251" t="str">
        <f t="shared" si="24"/>
        <v/>
      </c>
      <c r="Q204" s="251" t="str">
        <f t="shared" si="25"/>
        <v/>
      </c>
      <c r="R204" s="251" t="str">
        <f t="shared" si="26"/>
        <v/>
      </c>
      <c r="S204" s="252" t="str">
        <f t="shared" si="27"/>
        <v/>
      </c>
      <c r="T204" s="253"/>
      <c r="U204" s="278">
        <v>0.307</v>
      </c>
      <c r="V204" s="278">
        <v>0.30499999999999999</v>
      </c>
      <c r="W204" s="278">
        <v>0.30299999999999999</v>
      </c>
      <c r="X204" s="278">
        <v>0.29699999999999999</v>
      </c>
      <c r="Y204" s="278">
        <v>0.29399999999999998</v>
      </c>
      <c r="Z204" s="278">
        <v>0.28499999999999998</v>
      </c>
      <c r="AA204" s="249"/>
      <c r="AB204" s="279"/>
      <c r="AC204" s="279"/>
      <c r="AD204" s="279"/>
      <c r="AE204" s="279"/>
      <c r="AF204" s="279"/>
      <c r="AG204" s="279"/>
      <c r="AH204" s="249"/>
      <c r="AI204" s="249"/>
      <c r="AJ204" s="249"/>
      <c r="AK204" s="249"/>
      <c r="AL204" s="249"/>
      <c r="AM204" s="249"/>
      <c r="AN204" s="249"/>
      <c r="AO204" s="249"/>
    </row>
    <row r="205" spans="13:41" x14ac:dyDescent="0.35">
      <c r="M205" s="277">
        <v>25504</v>
      </c>
      <c r="N205" s="251" t="str">
        <f>IF($R$11&gt;=M204+0.01,U205,"")</f>
        <v/>
      </c>
      <c r="O205" s="251" t="str">
        <f>IF($R$11&gt;=M204,V205,"")</f>
        <v/>
      </c>
      <c r="P205" s="251" t="str">
        <f>IF($R$11&gt;=M204,W205,"")</f>
        <v/>
      </c>
      <c r="Q205" s="251" t="str">
        <f>IF($R$11&gt;=M204,X205,"")</f>
        <v/>
      </c>
      <c r="R205" s="252" t="str">
        <f>IF($R$11&gt;=M204,Y205,"")</f>
        <v/>
      </c>
      <c r="S205" s="251" t="str">
        <f>IF($R$11&gt;=M204,Z205,"")</f>
        <v/>
      </c>
      <c r="T205" s="253"/>
      <c r="U205" s="278">
        <v>0.307</v>
      </c>
      <c r="V205" s="278">
        <v>0.30499999999999999</v>
      </c>
      <c r="W205" s="278">
        <v>0.30299999999999999</v>
      </c>
      <c r="X205" s="278">
        <v>0.29699999999999999</v>
      </c>
      <c r="Y205" s="278">
        <v>0.29399999999999998</v>
      </c>
      <c r="Z205" s="278">
        <v>0.28499999999999998</v>
      </c>
      <c r="AA205" s="249"/>
      <c r="AB205" s="279"/>
      <c r="AC205" s="279"/>
      <c r="AD205" s="279"/>
      <c r="AE205" s="279"/>
      <c r="AF205" s="279"/>
      <c r="AG205" s="279"/>
      <c r="AH205" s="249"/>
      <c r="AI205" s="249"/>
      <c r="AJ205" s="249"/>
      <c r="AK205" s="249"/>
      <c r="AL205" s="249"/>
      <c r="AM205" s="249"/>
      <c r="AN205" s="249"/>
      <c r="AO205" s="249"/>
    </row>
    <row r="206" spans="13:41" x14ac:dyDescent="0.35">
      <c r="M206" s="249"/>
      <c r="N206" s="280" t="str">
        <f>IF($A$15=2,IF($A$2=1,IF($I$2=0,SUM(N168:N205),""),""),"")</f>
        <v/>
      </c>
      <c r="O206" s="281" t="str">
        <f>IF($A$15=2,IF($A$2=1,IF($I$2=1,SUM(O168:O205),""),""),"")</f>
        <v/>
      </c>
      <c r="P206" s="281" t="str">
        <f>IF($A$15=2,IF($A$2=1,IF($I$2=2,SUM(P168:P205),""),""),"")</f>
        <v/>
      </c>
      <c r="Q206" s="281" t="str">
        <f>IF($A$15=2,IF($A$2=1,IF($I$2=3,SUM(Q168:Q205),""),""),"")</f>
        <v/>
      </c>
      <c r="R206" s="281" t="str">
        <f>IF($A$15=2,IF($A$2=1,IF($I$2=4,SUM(R168:R205),""),""),"")</f>
        <v/>
      </c>
      <c r="S206" s="282" t="str">
        <f>IF($A$15=2,IF($A$2=1,IF($I$2=5,SUM(S168:S205),""),""),"")</f>
        <v/>
      </c>
      <c r="T206" s="260">
        <f>SUM(N206:S206)</f>
        <v>0</v>
      </c>
      <c r="U206" s="253"/>
      <c r="V206" s="253"/>
      <c r="W206" s="253"/>
      <c r="X206" s="253"/>
      <c r="Y206" s="253"/>
      <c r="Z206" s="253"/>
      <c r="AA206" s="249"/>
      <c r="AB206" s="279"/>
      <c r="AC206" s="279"/>
      <c r="AD206" s="279"/>
      <c r="AE206" s="279"/>
      <c r="AF206" s="279"/>
      <c r="AG206" s="279"/>
      <c r="AH206" s="249"/>
      <c r="AI206" s="249"/>
      <c r="AJ206" s="249"/>
      <c r="AK206" s="249"/>
      <c r="AL206" s="249"/>
      <c r="AM206" s="249"/>
      <c r="AN206" s="249"/>
      <c r="AO206" s="249"/>
    </row>
    <row r="207" spans="13:41" x14ac:dyDescent="0.35">
      <c r="M207" s="249"/>
      <c r="N207" s="249"/>
      <c r="O207" s="249"/>
      <c r="P207" s="249"/>
      <c r="Q207" s="249"/>
      <c r="R207" s="249"/>
      <c r="S207" s="249"/>
      <c r="T207" s="253"/>
      <c r="U207" s="253"/>
      <c r="V207" s="253"/>
      <c r="W207" s="253"/>
      <c r="X207" s="253"/>
      <c r="Y207" s="253"/>
      <c r="Z207" s="253"/>
      <c r="AA207" s="249"/>
      <c r="AB207" s="249"/>
      <c r="AC207" s="249"/>
      <c r="AD207" s="249"/>
      <c r="AE207" s="249"/>
      <c r="AF207" s="249"/>
      <c r="AG207" s="249"/>
      <c r="AH207" s="249"/>
      <c r="AI207" s="249"/>
      <c r="AJ207" s="249"/>
      <c r="AK207" s="249"/>
      <c r="AL207" s="249"/>
      <c r="AM207" s="249"/>
      <c r="AN207" s="249"/>
      <c r="AO207" s="249"/>
    </row>
    <row r="208" spans="13:41" x14ac:dyDescent="0.35">
      <c r="M208" s="249"/>
      <c r="N208" s="249"/>
      <c r="O208" s="249"/>
      <c r="P208" s="249"/>
      <c r="Q208" s="249"/>
      <c r="R208" s="249"/>
      <c r="S208" s="249"/>
      <c r="T208" s="253"/>
      <c r="U208" s="253"/>
      <c r="V208" s="253"/>
      <c r="W208" s="253"/>
      <c r="X208" s="253"/>
      <c r="Y208" s="253"/>
      <c r="Z208" s="253"/>
      <c r="AA208" s="249"/>
      <c r="AB208" s="249"/>
      <c r="AC208" s="249"/>
      <c r="AD208" s="249"/>
      <c r="AE208" s="249"/>
      <c r="AF208" s="249"/>
      <c r="AG208" s="249"/>
      <c r="AH208" s="249"/>
      <c r="AI208" s="249"/>
      <c r="AJ208" s="249"/>
      <c r="AK208" s="249"/>
      <c r="AL208" s="249"/>
      <c r="AM208" s="249"/>
      <c r="AN208" s="249"/>
      <c r="AO208" s="249"/>
    </row>
    <row r="209" spans="13:41" x14ac:dyDescent="0.35">
      <c r="M209" s="249"/>
      <c r="N209" s="249"/>
      <c r="O209" s="249"/>
      <c r="P209" s="249"/>
      <c r="Q209" s="249"/>
      <c r="R209" s="249"/>
      <c r="S209" s="249"/>
      <c r="T209" s="253"/>
      <c r="U209" s="253"/>
      <c r="V209" s="253"/>
      <c r="W209" s="253"/>
      <c r="X209" s="253"/>
      <c r="Y209" s="253"/>
      <c r="Z209" s="253"/>
      <c r="AA209" s="249"/>
      <c r="AB209" s="249"/>
      <c r="AC209" s="249"/>
      <c r="AD209" s="249"/>
      <c r="AE209" s="249"/>
      <c r="AF209" s="249"/>
      <c r="AG209" s="249"/>
      <c r="AH209" s="249"/>
      <c r="AI209" s="249"/>
      <c r="AJ209" s="249"/>
      <c r="AK209" s="249"/>
      <c r="AL209" s="249"/>
      <c r="AM209" s="249"/>
      <c r="AN209" s="249"/>
      <c r="AO209" s="249"/>
    </row>
    <row r="210" spans="13:41" x14ac:dyDescent="0.35">
      <c r="M210" s="263" t="s">
        <v>214</v>
      </c>
      <c r="N210" s="272"/>
      <c r="O210" s="273" t="s">
        <v>256</v>
      </c>
      <c r="P210" s="274"/>
      <c r="Q210" s="272"/>
      <c r="R210" s="272"/>
      <c r="S210" s="272"/>
      <c r="T210" s="253"/>
      <c r="U210" s="275" t="str">
        <f>O210</f>
        <v>Tabelas de IRS de retenção na fonte referente a 2022 nos Açores</v>
      </c>
      <c r="V210" s="253"/>
      <c r="W210" s="253"/>
      <c r="X210" s="253"/>
      <c r="Y210" s="253"/>
      <c r="Z210" s="253"/>
      <c r="AA210" s="249"/>
      <c r="AB210" s="249"/>
      <c r="AC210" s="249"/>
      <c r="AD210" s="249"/>
      <c r="AE210" s="249"/>
      <c r="AF210" s="249"/>
      <c r="AG210" s="249"/>
      <c r="AH210" s="249"/>
      <c r="AI210" s="249"/>
      <c r="AJ210" s="249"/>
      <c r="AK210" s="249"/>
      <c r="AL210" s="249"/>
      <c r="AM210" s="249"/>
      <c r="AN210" s="249"/>
      <c r="AO210" s="249"/>
    </row>
    <row r="211" spans="13:41" x14ac:dyDescent="0.35">
      <c r="M211" s="272"/>
      <c r="N211" s="272"/>
      <c r="O211" s="273" t="s">
        <v>177</v>
      </c>
      <c r="P211" s="272"/>
      <c r="Q211" s="272"/>
      <c r="R211" s="272"/>
      <c r="S211" s="272"/>
      <c r="T211" s="253"/>
      <c r="U211" s="275" t="str">
        <f>O211</f>
        <v>T A B E L A  II - TRABALHO DEPENDENTE</v>
      </c>
      <c r="V211" s="253"/>
      <c r="W211" s="253"/>
      <c r="X211" s="253"/>
      <c r="Y211" s="253"/>
      <c r="Z211" s="253"/>
      <c r="AA211" s="249"/>
      <c r="AB211" s="249"/>
      <c r="AC211" s="249"/>
      <c r="AD211" s="249"/>
      <c r="AE211" s="249"/>
      <c r="AF211" s="249"/>
      <c r="AG211" s="249"/>
      <c r="AH211" s="249"/>
      <c r="AI211" s="249"/>
      <c r="AJ211" s="249"/>
      <c r="AK211" s="249"/>
      <c r="AL211" s="249"/>
      <c r="AM211" s="249"/>
      <c r="AN211" s="249"/>
      <c r="AO211" s="249"/>
    </row>
    <row r="212" spans="13:41" x14ac:dyDescent="0.35">
      <c r="M212" s="272"/>
      <c r="N212" s="272"/>
      <c r="O212" s="276" t="s">
        <v>183</v>
      </c>
      <c r="P212" s="272"/>
      <c r="Q212" s="272"/>
      <c r="R212" s="272"/>
      <c r="S212" s="272"/>
      <c r="T212" s="253"/>
      <c r="U212" s="275" t="str">
        <f>O212</f>
        <v>Único titular</v>
      </c>
      <c r="V212" s="253"/>
      <c r="W212" s="253"/>
      <c r="X212" s="253"/>
      <c r="Y212" s="253"/>
      <c r="Z212" s="253"/>
      <c r="AA212" s="249"/>
      <c r="AB212" s="249"/>
      <c r="AC212" s="249"/>
      <c r="AD212" s="249"/>
      <c r="AE212" s="249"/>
      <c r="AF212" s="249"/>
      <c r="AG212" s="249"/>
      <c r="AH212" s="249"/>
      <c r="AI212" s="249"/>
      <c r="AJ212" s="249"/>
      <c r="AK212" s="249"/>
      <c r="AL212" s="249"/>
      <c r="AM212" s="249"/>
      <c r="AN212" s="249"/>
      <c r="AO212" s="249"/>
    </row>
    <row r="213" spans="13:41" x14ac:dyDescent="0.35">
      <c r="M213" s="267" t="s">
        <v>154</v>
      </c>
      <c r="N213" s="268" t="s">
        <v>155</v>
      </c>
      <c r="O213" s="268" t="s">
        <v>156</v>
      </c>
      <c r="P213" s="268" t="s">
        <v>157</v>
      </c>
      <c r="Q213" s="268" t="s">
        <v>158</v>
      </c>
      <c r="R213" s="268" t="s">
        <v>159</v>
      </c>
      <c r="S213" s="268" t="s">
        <v>160</v>
      </c>
      <c r="T213" s="253"/>
      <c r="U213" s="269" t="str">
        <f t="shared" ref="U213:Z213" si="28">N213</f>
        <v>0 dep</v>
      </c>
      <c r="V213" s="269" t="str">
        <f t="shared" si="28"/>
        <v>1 dep</v>
      </c>
      <c r="W213" s="269" t="str">
        <f t="shared" si="28"/>
        <v>2 dep</v>
      </c>
      <c r="X213" s="269" t="str">
        <f t="shared" si="28"/>
        <v>3 dep</v>
      </c>
      <c r="Y213" s="269" t="str">
        <f t="shared" si="28"/>
        <v>4 dep</v>
      </c>
      <c r="Z213" s="269" t="str">
        <f t="shared" si="28"/>
        <v>5 dep. ou +</v>
      </c>
      <c r="AA213" s="249"/>
      <c r="AB213" s="249"/>
      <c r="AC213" s="249"/>
      <c r="AD213" s="249"/>
      <c r="AE213" s="249"/>
      <c r="AF213" s="249"/>
      <c r="AG213" s="249"/>
      <c r="AH213" s="249"/>
      <c r="AI213" s="249"/>
      <c r="AJ213" s="249"/>
      <c r="AK213" s="249"/>
      <c r="AL213" s="249"/>
      <c r="AM213" s="249"/>
      <c r="AN213" s="249"/>
      <c r="AO213" s="249"/>
    </row>
    <row r="214" spans="13:41" x14ac:dyDescent="0.35">
      <c r="M214" s="277">
        <v>745</v>
      </c>
      <c r="N214" s="251" t="str">
        <f>IF($R$11&lt;=M214,IF($R$11&gt;=0,0,""),"")</f>
        <v/>
      </c>
      <c r="O214" s="251" t="str">
        <f>IF($R$11&lt;=M214,IF($R$11&gt;=0,0,""),"")</f>
        <v/>
      </c>
      <c r="P214" s="251" t="str">
        <f>IF($R$11&lt;=M214,IF($R$11&gt;=0,0,""),"")</f>
        <v/>
      </c>
      <c r="Q214" s="251" t="str">
        <f>IF($R$11&lt;=M214,IF($R$11&gt;=0,0,""),"")</f>
        <v/>
      </c>
      <c r="R214" s="251" t="str">
        <f>IF($R$11&lt;=M214,IF($R$11&gt;=0,0,""),"")</f>
        <v/>
      </c>
      <c r="S214" s="251" t="str">
        <f>IF($R$11&lt;=M214,IF($R$11&gt;=0,0,""),"")</f>
        <v/>
      </c>
      <c r="T214" s="253"/>
      <c r="U214" s="278">
        <v>0</v>
      </c>
      <c r="V214" s="278">
        <v>0</v>
      </c>
      <c r="W214" s="278">
        <v>0</v>
      </c>
      <c r="X214" s="278">
        <v>0</v>
      </c>
      <c r="Y214" s="278">
        <v>0</v>
      </c>
      <c r="Z214" s="278">
        <v>0</v>
      </c>
      <c r="AA214" s="249"/>
      <c r="AB214" s="249"/>
      <c r="AC214" s="249"/>
      <c r="AD214" s="249"/>
      <c r="AE214" s="249"/>
      <c r="AF214" s="249"/>
      <c r="AG214" s="249"/>
      <c r="AH214" s="249"/>
      <c r="AI214" s="249"/>
      <c r="AJ214" s="249"/>
      <c r="AK214" s="249"/>
      <c r="AL214" s="249"/>
      <c r="AM214" s="249"/>
      <c r="AN214" s="249"/>
      <c r="AO214" s="249"/>
    </row>
    <row r="215" spans="13:41" x14ac:dyDescent="0.35">
      <c r="M215" s="277">
        <v>777</v>
      </c>
      <c r="N215" s="251" t="str">
        <f>IF($R$11&lt;=M215,IF($R$11&gt;=M214+0.01,U215,""),"")</f>
        <v/>
      </c>
      <c r="O215" s="251" t="str">
        <f>IF($R$11&lt;=M215,IF($R$11&gt;=M214+0.01,V215,""),"")</f>
        <v/>
      </c>
      <c r="P215" s="251" t="str">
        <f>IF($R$11&lt;=M215,IF($R$11&gt;=M214+0.01,W215,""),"")</f>
        <v/>
      </c>
      <c r="Q215" s="251" t="str">
        <f>IF($R$11&lt;=M215,IF($R$11&gt;=M214+0.01,X215,""),"")</f>
        <v/>
      </c>
      <c r="R215" s="251" t="str">
        <f>IF($R$11&lt;=M215,IF($R$11&gt;=M214+0.01,Y215,""),"")</f>
        <v/>
      </c>
      <c r="S215" s="252" t="str">
        <f>IF($R$11&lt;=M215,IF($R$11&gt;=M214+0.01,Z215,""),"")</f>
        <v/>
      </c>
      <c r="T215" s="253"/>
      <c r="U215" s="278">
        <v>2.3E-2</v>
      </c>
      <c r="V215" s="278">
        <v>0</v>
      </c>
      <c r="W215" s="278">
        <v>0</v>
      </c>
      <c r="X215" s="278">
        <v>0</v>
      </c>
      <c r="Y215" s="278">
        <v>0</v>
      </c>
      <c r="Z215" s="278">
        <v>0</v>
      </c>
      <c r="AA215" s="249"/>
      <c r="AB215" s="279"/>
      <c r="AC215" s="279"/>
      <c r="AD215" s="279"/>
      <c r="AE215" s="279"/>
      <c r="AF215" s="279"/>
      <c r="AG215" s="279"/>
      <c r="AH215" s="249"/>
      <c r="AI215" s="249"/>
      <c r="AJ215" s="249"/>
      <c r="AK215" s="249"/>
      <c r="AL215" s="249"/>
      <c r="AM215" s="249"/>
      <c r="AN215" s="249"/>
      <c r="AO215" s="249"/>
    </row>
    <row r="216" spans="13:41" x14ac:dyDescent="0.35">
      <c r="M216" s="277">
        <v>792</v>
      </c>
      <c r="N216" s="251" t="str">
        <f>IF($R$11&lt;=M216,IF($R$11&gt;=M215+0.01,U216,""),"")</f>
        <v/>
      </c>
      <c r="O216" s="251" t="str">
        <f>IF($R$11&lt;=M216,IF($R$11&gt;=M215+0.01,V216,""),"")</f>
        <v/>
      </c>
      <c r="P216" s="251" t="str">
        <f>IF($R$11&lt;=M216,IF($R$11&gt;=M215+0.01,W216,""),"")</f>
        <v/>
      </c>
      <c r="Q216" s="251" t="str">
        <f>IF($R$11&lt;=M216,IF($R$11&gt;=M215+0.01,X216,""),"")</f>
        <v/>
      </c>
      <c r="R216" s="251" t="str">
        <f>IF($R$11&lt;=M216,IF($R$11&gt;=M215+0.01,Y216,""),"")</f>
        <v/>
      </c>
      <c r="S216" s="252" t="str">
        <f>IF($R$11&lt;=M216,IF($R$11&gt;=M215+0.01,Z216,""),"")</f>
        <v/>
      </c>
      <c r="T216" s="253"/>
      <c r="U216" s="278">
        <v>2.3E-2</v>
      </c>
      <c r="V216" s="278">
        <v>0</v>
      </c>
      <c r="W216" s="278">
        <v>0</v>
      </c>
      <c r="X216" s="278">
        <v>0</v>
      </c>
      <c r="Y216" s="278">
        <v>0</v>
      </c>
      <c r="Z216" s="278">
        <v>0</v>
      </c>
      <c r="AA216" s="249"/>
      <c r="AB216" s="279"/>
      <c r="AC216" s="279"/>
      <c r="AD216" s="279"/>
      <c r="AE216" s="279"/>
      <c r="AF216" s="279"/>
      <c r="AG216" s="279"/>
      <c r="AH216" s="249"/>
      <c r="AI216" s="249"/>
      <c r="AJ216" s="249"/>
      <c r="AK216" s="249"/>
      <c r="AL216" s="249"/>
      <c r="AM216" s="249"/>
      <c r="AN216" s="249"/>
      <c r="AO216" s="249"/>
    </row>
    <row r="217" spans="13:41" x14ac:dyDescent="0.35">
      <c r="M217" s="277">
        <v>834</v>
      </c>
      <c r="N217" s="251" t="str">
        <f>IF($R$11&lt;=M217,IF($R$11&gt;=M216+0.01,U217,""),"")</f>
        <v/>
      </c>
      <c r="O217" s="251" t="str">
        <f>IF($R$11&lt;=M217,IF($R$11&gt;=M216+0.01,V217,""),"")</f>
        <v/>
      </c>
      <c r="P217" s="251" t="str">
        <f>IF($R$11&lt;=M217,IF($R$11&gt;=M216+0.01,W217,""),"")</f>
        <v/>
      </c>
      <c r="Q217" s="251" t="str">
        <f>IF($R$11&lt;=M217,IF($R$11&gt;=M216+0.01,X217,""),"")</f>
        <v/>
      </c>
      <c r="R217" s="251" t="str">
        <f>IF($R$11&lt;=M217,IF($R$11&gt;=M216+0.01,Y217,""),"")</f>
        <v/>
      </c>
      <c r="S217" s="252" t="str">
        <f>IF($R$11&lt;=M217,IF($R$11&gt;=M216+0.01,Z217,""),"")</f>
        <v/>
      </c>
      <c r="T217" s="253"/>
      <c r="U217" s="278">
        <v>3.3000000000000002E-2</v>
      </c>
      <c r="V217" s="278">
        <v>6.0000000000000001E-3</v>
      </c>
      <c r="W217" s="278">
        <v>0</v>
      </c>
      <c r="X217" s="278">
        <v>0</v>
      </c>
      <c r="Y217" s="278">
        <v>0</v>
      </c>
      <c r="Z217" s="278">
        <v>0</v>
      </c>
      <c r="AA217" s="249"/>
      <c r="AB217" s="279"/>
      <c r="AC217" s="279"/>
      <c r="AD217" s="279"/>
      <c r="AE217" s="279"/>
      <c r="AF217" s="279"/>
      <c r="AG217" s="279"/>
      <c r="AH217" s="249"/>
      <c r="AI217" s="249"/>
      <c r="AJ217" s="249"/>
      <c r="AK217" s="249"/>
      <c r="AL217" s="249"/>
      <c r="AM217" s="249"/>
      <c r="AN217" s="249"/>
      <c r="AO217" s="249"/>
    </row>
    <row r="218" spans="13:41" x14ac:dyDescent="0.35">
      <c r="M218" s="277">
        <v>878</v>
      </c>
      <c r="N218" s="251" t="str">
        <f>IF($R$11&lt;=M218,IF($R$11&gt;=M217+0.01,U218,""),"")</f>
        <v/>
      </c>
      <c r="O218" s="251" t="str">
        <f>IF($R$11&lt;=M218,IF($R$11&gt;=M217+0.01,V218,""),"")</f>
        <v/>
      </c>
      <c r="P218" s="251" t="str">
        <f>IF($R$11&lt;=M218,IF($R$11&gt;=M217+0.01,W218,""),"")</f>
        <v/>
      </c>
      <c r="Q218" s="251" t="str">
        <f>IF($R$11&lt;=M218,IF($R$11&gt;=M217+0.01,X218,""),"")</f>
        <v/>
      </c>
      <c r="R218" s="251" t="str">
        <f>IF($R$11&lt;=M218,IF($R$11&gt;=M217+0.01,Y218,""),"")</f>
        <v/>
      </c>
      <c r="S218" s="252" t="str">
        <f>IF($R$11&lt;=M218,IF($R$11&gt;=M217+0.01,Z218,""),"")</f>
        <v/>
      </c>
      <c r="T218" s="253"/>
      <c r="U218" s="278">
        <v>3.7999999999999999E-2</v>
      </c>
      <c r="V218" s="278">
        <v>1.2E-2</v>
      </c>
      <c r="W218" s="278">
        <v>6.0000000000000001E-3</v>
      </c>
      <c r="X218" s="278">
        <v>0</v>
      </c>
      <c r="Y218" s="278">
        <v>0</v>
      </c>
      <c r="Z218" s="278">
        <v>0</v>
      </c>
      <c r="AA218" s="249"/>
      <c r="AB218" s="279"/>
      <c r="AC218" s="279"/>
      <c r="AD218" s="279"/>
      <c r="AE218" s="279"/>
      <c r="AF218" s="279"/>
      <c r="AG218" s="279"/>
      <c r="AH218" s="249"/>
      <c r="AI218" s="249"/>
      <c r="AJ218" s="249"/>
      <c r="AK218" s="249"/>
      <c r="AL218" s="249"/>
      <c r="AM218" s="249"/>
      <c r="AN218" s="249"/>
      <c r="AO218" s="249"/>
    </row>
    <row r="219" spans="13:41" x14ac:dyDescent="0.35">
      <c r="M219" s="277">
        <v>886</v>
      </c>
      <c r="N219" s="251" t="str">
        <f t="shared" ref="N219:N249" si="29">IF($R$11&lt;=M219,IF($R$11&gt;=M218+0.01,U219,""),"")</f>
        <v/>
      </c>
      <c r="O219" s="251" t="str">
        <f t="shared" ref="O219:O249" si="30">IF($R$11&lt;=M219,IF($R$11&gt;=M218+0.01,V219,""),"")</f>
        <v/>
      </c>
      <c r="P219" s="251" t="str">
        <f t="shared" ref="P219:P249" si="31">IF($R$11&lt;=M219,IF($R$11&gt;=M218+0.01,W219,""),"")</f>
        <v/>
      </c>
      <c r="Q219" s="251" t="str">
        <f t="shared" ref="Q219:Q249" si="32">IF($R$11&lt;=M219,IF($R$11&gt;=M218+0.01,X219,""),"")</f>
        <v/>
      </c>
      <c r="R219" s="251" t="str">
        <f t="shared" ref="R219:R249" si="33">IF($R$11&lt;=M219,IF($R$11&gt;=M218+0.01,Y219,""),"")</f>
        <v/>
      </c>
      <c r="S219" s="252" t="str">
        <f t="shared" ref="S219:S249" si="34">IF($R$11&lt;=M219,IF($R$11&gt;=M218+0.01,Z219,""),"")</f>
        <v/>
      </c>
      <c r="T219" s="253"/>
      <c r="U219" s="278">
        <v>4.4999999999999998E-2</v>
      </c>
      <c r="V219" s="278">
        <v>2.5999999999999999E-2</v>
      </c>
      <c r="W219" s="278">
        <v>8.0000000000000002E-3</v>
      </c>
      <c r="X219" s="278">
        <v>0</v>
      </c>
      <c r="Y219" s="278">
        <v>0</v>
      </c>
      <c r="Z219" s="278">
        <v>0</v>
      </c>
      <c r="AA219" s="249"/>
      <c r="AB219" s="279"/>
      <c r="AC219" s="279"/>
      <c r="AD219" s="279"/>
      <c r="AE219" s="279"/>
      <c r="AF219" s="279"/>
      <c r="AG219" s="279"/>
      <c r="AH219" s="249"/>
      <c r="AI219" s="249"/>
      <c r="AJ219" s="249"/>
      <c r="AK219" s="249"/>
      <c r="AL219" s="249"/>
      <c r="AM219" s="249"/>
      <c r="AN219" s="249"/>
      <c r="AO219" s="249"/>
    </row>
    <row r="220" spans="13:41" x14ac:dyDescent="0.35">
      <c r="M220" s="277">
        <v>983</v>
      </c>
      <c r="N220" s="251" t="str">
        <f t="shared" si="29"/>
        <v/>
      </c>
      <c r="O220" s="251" t="str">
        <f t="shared" si="30"/>
        <v/>
      </c>
      <c r="P220" s="251" t="str">
        <f t="shared" si="31"/>
        <v/>
      </c>
      <c r="Q220" s="251" t="str">
        <f t="shared" si="32"/>
        <v/>
      </c>
      <c r="R220" s="251" t="str">
        <f t="shared" si="33"/>
        <v/>
      </c>
      <c r="S220" s="252" t="str">
        <f t="shared" si="34"/>
        <v/>
      </c>
      <c r="T220" s="253"/>
      <c r="U220" s="278">
        <v>4.9999999999999996E-2</v>
      </c>
      <c r="V220" s="278">
        <v>3.2000000000000001E-2</v>
      </c>
      <c r="W220" s="278">
        <v>1.9999999999999997E-2</v>
      </c>
      <c r="X220" s="278">
        <v>0</v>
      </c>
      <c r="Y220" s="278">
        <v>0</v>
      </c>
      <c r="Z220" s="278">
        <v>0</v>
      </c>
      <c r="AA220" s="249"/>
      <c r="AB220" s="279"/>
      <c r="AC220" s="279"/>
      <c r="AD220" s="279"/>
      <c r="AE220" s="279"/>
      <c r="AF220" s="279"/>
      <c r="AG220" s="279"/>
      <c r="AH220" s="249"/>
      <c r="AI220" s="249"/>
      <c r="AJ220" s="249"/>
      <c r="AK220" s="249"/>
      <c r="AL220" s="249"/>
      <c r="AM220" s="249"/>
      <c r="AN220" s="249"/>
      <c r="AO220" s="249"/>
    </row>
    <row r="221" spans="13:41" x14ac:dyDescent="0.35">
      <c r="M221" s="277">
        <v>1091</v>
      </c>
      <c r="N221" s="251" t="str">
        <f t="shared" si="29"/>
        <v/>
      </c>
      <c r="O221" s="251" t="str">
        <f t="shared" si="30"/>
        <v/>
      </c>
      <c r="P221" s="251" t="str">
        <f t="shared" si="31"/>
        <v/>
      </c>
      <c r="Q221" s="251" t="str">
        <f t="shared" si="32"/>
        <v/>
      </c>
      <c r="R221" s="251" t="str">
        <f t="shared" si="33"/>
        <v/>
      </c>
      <c r="S221" s="252" t="str">
        <f t="shared" si="34"/>
        <v/>
      </c>
      <c r="T221" s="253"/>
      <c r="U221" s="278">
        <v>5.67E-2</v>
      </c>
      <c r="V221" s="278">
        <v>3.85E-2</v>
      </c>
      <c r="W221" s="278">
        <v>2.5899999999999996E-2</v>
      </c>
      <c r="X221" s="278">
        <v>6.9999999999999993E-3</v>
      </c>
      <c r="Y221" s="278">
        <v>0</v>
      </c>
      <c r="Z221" s="278">
        <v>0</v>
      </c>
      <c r="AA221" s="249"/>
      <c r="AB221" s="279"/>
      <c r="AC221" s="279"/>
      <c r="AD221" s="279"/>
      <c r="AE221" s="279"/>
      <c r="AF221" s="279"/>
      <c r="AG221" s="279"/>
      <c r="AH221" s="249"/>
      <c r="AI221" s="249"/>
      <c r="AJ221" s="249"/>
      <c r="AK221" s="249"/>
      <c r="AL221" s="249"/>
      <c r="AM221" s="249"/>
      <c r="AN221" s="249"/>
      <c r="AO221" s="249"/>
    </row>
    <row r="222" spans="13:41" x14ac:dyDescent="0.35">
      <c r="M222" s="277">
        <v>1237</v>
      </c>
      <c r="N222" s="251" t="str">
        <f t="shared" si="29"/>
        <v/>
      </c>
      <c r="O222" s="251" t="str">
        <f t="shared" si="30"/>
        <v/>
      </c>
      <c r="P222" s="251" t="str">
        <f t="shared" si="31"/>
        <v/>
      </c>
      <c r="Q222" s="251" t="str">
        <f t="shared" si="32"/>
        <v/>
      </c>
      <c r="R222" s="251" t="str">
        <f t="shared" si="33"/>
        <v/>
      </c>
      <c r="S222" s="252" t="str">
        <f t="shared" si="34"/>
        <v/>
      </c>
      <c r="T222" s="253"/>
      <c r="U222" s="278">
        <v>6.4399999999999999E-2</v>
      </c>
      <c r="V222" s="278">
        <v>4.8300000000000003E-2</v>
      </c>
      <c r="W222" s="278">
        <v>3.2899999999999999E-2</v>
      </c>
      <c r="X222" s="278">
        <v>1.3999999999999999E-2</v>
      </c>
      <c r="Y222" s="278">
        <v>0</v>
      </c>
      <c r="Z222" s="278">
        <v>0</v>
      </c>
      <c r="AA222" s="249"/>
      <c r="AB222" s="279"/>
      <c r="AC222" s="279"/>
      <c r="AD222" s="279"/>
      <c r="AE222" s="279"/>
      <c r="AF222" s="279"/>
      <c r="AG222" s="279"/>
      <c r="AH222" s="249"/>
      <c r="AI222" s="249"/>
      <c r="AJ222" s="249"/>
      <c r="AK222" s="249"/>
      <c r="AL222" s="249"/>
      <c r="AM222" s="249"/>
      <c r="AN222" s="249"/>
      <c r="AO222" s="249"/>
    </row>
    <row r="223" spans="13:41" x14ac:dyDescent="0.35">
      <c r="M223" s="277">
        <v>1417</v>
      </c>
      <c r="N223" s="251" t="str">
        <f t="shared" si="29"/>
        <v/>
      </c>
      <c r="O223" s="251" t="str">
        <f t="shared" si="30"/>
        <v/>
      </c>
      <c r="P223" s="251" t="str">
        <f t="shared" si="31"/>
        <v/>
      </c>
      <c r="Q223" s="251" t="str">
        <f t="shared" si="32"/>
        <v/>
      </c>
      <c r="R223" s="251" t="str">
        <f t="shared" si="33"/>
        <v/>
      </c>
      <c r="S223" s="252" t="str">
        <f t="shared" si="34"/>
        <v/>
      </c>
      <c r="T223" s="253"/>
      <c r="U223" s="278">
        <v>7.4899999999999994E-2</v>
      </c>
      <c r="V223" s="278">
        <v>6.2299999999999994E-2</v>
      </c>
      <c r="W223" s="278">
        <v>4.9699999999999994E-2</v>
      </c>
      <c r="X223" s="278">
        <v>3.0099999999999995E-2</v>
      </c>
      <c r="Y223" s="278">
        <v>1.8199999999999997E-2</v>
      </c>
      <c r="Z223" s="278">
        <v>1.1900000000000001E-2</v>
      </c>
      <c r="AA223" s="249"/>
      <c r="AB223" s="279"/>
      <c r="AC223" s="279"/>
      <c r="AD223" s="279"/>
      <c r="AE223" s="279"/>
      <c r="AF223" s="279"/>
      <c r="AG223" s="279"/>
      <c r="AH223" s="249"/>
      <c r="AI223" s="249"/>
      <c r="AJ223" s="249"/>
      <c r="AK223" s="249"/>
      <c r="AL223" s="249"/>
      <c r="AM223" s="249"/>
      <c r="AN223" s="249"/>
      <c r="AO223" s="249"/>
    </row>
    <row r="224" spans="13:41" x14ac:dyDescent="0.35">
      <c r="M224" s="277">
        <v>1644</v>
      </c>
      <c r="N224" s="251">
        <f t="shared" si="29"/>
        <v>8.1900000000000001E-2</v>
      </c>
      <c r="O224" s="251">
        <f t="shared" si="30"/>
        <v>6.9999999999999993E-2</v>
      </c>
      <c r="P224" s="251">
        <f t="shared" si="31"/>
        <v>5.67E-2</v>
      </c>
      <c r="Q224" s="251">
        <f t="shared" si="32"/>
        <v>4.41E-2</v>
      </c>
      <c r="R224" s="251">
        <f t="shared" si="33"/>
        <v>3.15E-2</v>
      </c>
      <c r="S224" s="252">
        <f t="shared" si="34"/>
        <v>1.89E-2</v>
      </c>
      <c r="T224" s="253"/>
      <c r="U224" s="278">
        <v>8.1900000000000001E-2</v>
      </c>
      <c r="V224" s="278">
        <v>6.9999999999999993E-2</v>
      </c>
      <c r="W224" s="278">
        <v>5.67E-2</v>
      </c>
      <c r="X224" s="278">
        <v>4.41E-2</v>
      </c>
      <c r="Y224" s="278">
        <v>3.15E-2</v>
      </c>
      <c r="Z224" s="278">
        <v>1.89E-2</v>
      </c>
      <c r="AA224" s="249"/>
      <c r="AB224" s="279"/>
      <c r="AC224" s="279"/>
      <c r="AD224" s="279"/>
      <c r="AE224" s="279"/>
      <c r="AF224" s="279"/>
      <c r="AG224" s="279"/>
      <c r="AH224" s="249"/>
      <c r="AI224" s="249"/>
      <c r="AJ224" s="249"/>
      <c r="AK224" s="249"/>
      <c r="AL224" s="249"/>
      <c r="AM224" s="249"/>
      <c r="AN224" s="249"/>
      <c r="AO224" s="249"/>
    </row>
    <row r="225" spans="13:41" x14ac:dyDescent="0.35">
      <c r="M225" s="277">
        <v>1749</v>
      </c>
      <c r="N225" s="251" t="str">
        <f t="shared" si="29"/>
        <v/>
      </c>
      <c r="O225" s="251" t="str">
        <f t="shared" si="30"/>
        <v/>
      </c>
      <c r="P225" s="251" t="str">
        <f t="shared" si="31"/>
        <v/>
      </c>
      <c r="Q225" s="251" t="str">
        <f t="shared" si="32"/>
        <v/>
      </c>
      <c r="R225" s="251" t="str">
        <f t="shared" si="33"/>
        <v/>
      </c>
      <c r="S225" s="252" t="str">
        <f t="shared" si="34"/>
        <v/>
      </c>
      <c r="T225" s="253"/>
      <c r="U225" s="278">
        <v>9.1700000000000004E-2</v>
      </c>
      <c r="V225" s="278">
        <v>7.9799999999999996E-2</v>
      </c>
      <c r="W225" s="278">
        <v>7.4199999999999988E-2</v>
      </c>
      <c r="X225" s="278">
        <v>5.3899999999999997E-2</v>
      </c>
      <c r="Y225" s="278">
        <v>4.1299999999999996E-2</v>
      </c>
      <c r="Z225" s="278">
        <v>3.5699999999999996E-2</v>
      </c>
      <c r="AA225" s="249"/>
      <c r="AB225" s="279"/>
      <c r="AC225" s="279"/>
      <c r="AD225" s="279"/>
      <c r="AE225" s="279"/>
      <c r="AF225" s="279"/>
      <c r="AG225" s="279"/>
      <c r="AH225" s="249"/>
      <c r="AI225" s="249"/>
      <c r="AJ225" s="249"/>
      <c r="AK225" s="249"/>
      <c r="AL225" s="249"/>
      <c r="AM225" s="249"/>
      <c r="AN225" s="249"/>
      <c r="AO225" s="249"/>
    </row>
    <row r="226" spans="13:41" x14ac:dyDescent="0.35">
      <c r="M226" s="277">
        <v>1866</v>
      </c>
      <c r="N226" s="251" t="str">
        <f t="shared" si="29"/>
        <v/>
      </c>
      <c r="O226" s="251" t="str">
        <f t="shared" si="30"/>
        <v/>
      </c>
      <c r="P226" s="251" t="str">
        <f t="shared" si="31"/>
        <v/>
      </c>
      <c r="Q226" s="251" t="str">
        <f t="shared" si="32"/>
        <v/>
      </c>
      <c r="R226" s="251" t="str">
        <f t="shared" si="33"/>
        <v/>
      </c>
      <c r="S226" s="252" t="str">
        <f t="shared" si="34"/>
        <v/>
      </c>
      <c r="T226" s="253"/>
      <c r="U226" s="278">
        <v>9.8000000000000004E-2</v>
      </c>
      <c r="V226" s="278">
        <v>8.6799999999999988E-2</v>
      </c>
      <c r="W226" s="278">
        <v>8.1900000000000001E-2</v>
      </c>
      <c r="X226" s="278">
        <v>6.3E-2</v>
      </c>
      <c r="Y226" s="278">
        <v>5.1099999999999993E-2</v>
      </c>
      <c r="Z226" s="278">
        <v>4.5499999999999999E-2</v>
      </c>
      <c r="AA226" s="249"/>
      <c r="AB226" s="279"/>
      <c r="AC226" s="279"/>
      <c r="AD226" s="279"/>
      <c r="AE226" s="279"/>
      <c r="AF226" s="279"/>
      <c r="AG226" s="279"/>
      <c r="AH226" s="249"/>
      <c r="AI226" s="249"/>
      <c r="AJ226" s="249"/>
      <c r="AK226" s="249"/>
      <c r="AL226" s="249"/>
      <c r="AM226" s="249"/>
      <c r="AN226" s="249"/>
      <c r="AO226" s="249"/>
    </row>
    <row r="227" spans="13:41" x14ac:dyDescent="0.35">
      <c r="M227" s="277">
        <v>2016</v>
      </c>
      <c r="N227" s="251" t="str">
        <f t="shared" si="29"/>
        <v/>
      </c>
      <c r="O227" s="251" t="str">
        <f t="shared" si="30"/>
        <v/>
      </c>
      <c r="P227" s="251" t="str">
        <f t="shared" si="31"/>
        <v/>
      </c>
      <c r="Q227" s="251" t="str">
        <f t="shared" si="32"/>
        <v/>
      </c>
      <c r="R227" s="251" t="str">
        <f t="shared" si="33"/>
        <v/>
      </c>
      <c r="S227" s="252" t="str">
        <f t="shared" si="34"/>
        <v/>
      </c>
      <c r="T227" s="253"/>
      <c r="U227" s="278">
        <v>0.105</v>
      </c>
      <c r="V227" s="278">
        <v>9.3100000000000002E-2</v>
      </c>
      <c r="W227" s="278">
        <v>8.7499999999999994E-2</v>
      </c>
      <c r="X227" s="278">
        <v>6.9999999999999993E-2</v>
      </c>
      <c r="Y227" s="278">
        <v>6.4399999999999999E-2</v>
      </c>
      <c r="Z227" s="278">
        <v>5.1799999999999992E-2</v>
      </c>
      <c r="AA227" s="249"/>
      <c r="AB227" s="279"/>
      <c r="AC227" s="279"/>
      <c r="AD227" s="279"/>
      <c r="AE227" s="279"/>
      <c r="AF227" s="279"/>
      <c r="AG227" s="279"/>
      <c r="AH227" s="249"/>
      <c r="AI227" s="249"/>
      <c r="AJ227" s="249"/>
      <c r="AK227" s="249"/>
      <c r="AL227" s="249"/>
      <c r="AM227" s="249"/>
      <c r="AN227" s="249"/>
      <c r="AO227" s="249"/>
    </row>
    <row r="228" spans="13:41" x14ac:dyDescent="0.35">
      <c r="M228" s="277">
        <v>2177</v>
      </c>
      <c r="N228" s="251" t="str">
        <f t="shared" si="29"/>
        <v/>
      </c>
      <c r="O228" s="251" t="str">
        <f t="shared" si="30"/>
        <v/>
      </c>
      <c r="P228" s="251" t="str">
        <f t="shared" si="31"/>
        <v/>
      </c>
      <c r="Q228" s="251" t="str">
        <f t="shared" si="32"/>
        <v/>
      </c>
      <c r="R228" s="251" t="str">
        <f t="shared" si="33"/>
        <v/>
      </c>
      <c r="S228" s="252" t="str">
        <f t="shared" si="34"/>
        <v/>
      </c>
      <c r="T228" s="253"/>
      <c r="U228" s="278">
        <v>0.11199999999999999</v>
      </c>
      <c r="V228" s="278">
        <v>0.10009999999999998</v>
      </c>
      <c r="W228" s="278">
        <v>9.4500000000000001E-2</v>
      </c>
      <c r="X228" s="278">
        <v>7.6299999999999993E-2</v>
      </c>
      <c r="Y228" s="278">
        <v>7.1399999999999991E-2</v>
      </c>
      <c r="Z228" s="278">
        <v>5.9499999999999997E-2</v>
      </c>
      <c r="AA228" s="249"/>
      <c r="AB228" s="279"/>
      <c r="AC228" s="279"/>
      <c r="AD228" s="279"/>
      <c r="AE228" s="279"/>
      <c r="AF228" s="279"/>
      <c r="AG228" s="279"/>
      <c r="AH228" s="249"/>
      <c r="AI228" s="249"/>
      <c r="AJ228" s="249"/>
      <c r="AK228" s="249"/>
      <c r="AL228" s="249"/>
      <c r="AM228" s="249"/>
      <c r="AN228" s="249"/>
      <c r="AO228" s="249"/>
    </row>
    <row r="229" spans="13:41" x14ac:dyDescent="0.35">
      <c r="M229" s="277">
        <v>2369</v>
      </c>
      <c r="N229" s="251" t="str">
        <f t="shared" si="29"/>
        <v/>
      </c>
      <c r="O229" s="251" t="str">
        <f t="shared" si="30"/>
        <v/>
      </c>
      <c r="P229" s="251" t="str">
        <f t="shared" si="31"/>
        <v/>
      </c>
      <c r="Q229" s="251" t="str">
        <f t="shared" si="32"/>
        <v/>
      </c>
      <c r="R229" s="251" t="str">
        <f t="shared" si="33"/>
        <v/>
      </c>
      <c r="S229" s="252" t="str">
        <f t="shared" si="34"/>
        <v/>
      </c>
      <c r="T229" s="253"/>
      <c r="U229" s="278">
        <v>0.11899999999999999</v>
      </c>
      <c r="V229" s="278">
        <v>0.11409999999999999</v>
      </c>
      <c r="W229" s="278">
        <v>0.10219999999999999</v>
      </c>
      <c r="X229" s="278">
        <v>8.3299999999999985E-2</v>
      </c>
      <c r="Y229" s="278">
        <v>7.7699999999999991E-2</v>
      </c>
      <c r="Z229" s="278">
        <v>6.649999999999999E-2</v>
      </c>
      <c r="AA229" s="249"/>
      <c r="AB229" s="279"/>
      <c r="AC229" s="279"/>
      <c r="AD229" s="279"/>
      <c r="AE229" s="279"/>
      <c r="AF229" s="279"/>
      <c r="AG229" s="279"/>
      <c r="AH229" s="249"/>
      <c r="AI229" s="249"/>
      <c r="AJ229" s="249"/>
      <c r="AK229" s="249"/>
      <c r="AL229" s="249"/>
      <c r="AM229" s="249"/>
      <c r="AN229" s="249"/>
      <c r="AO229" s="249"/>
    </row>
    <row r="230" spans="13:41" x14ac:dyDescent="0.35">
      <c r="M230" s="277">
        <v>2590</v>
      </c>
      <c r="N230" s="251" t="str">
        <f t="shared" si="29"/>
        <v/>
      </c>
      <c r="O230" s="251" t="str">
        <f t="shared" si="30"/>
        <v/>
      </c>
      <c r="P230" s="251" t="str">
        <f t="shared" si="31"/>
        <v/>
      </c>
      <c r="Q230" s="251" t="str">
        <f t="shared" si="32"/>
        <v/>
      </c>
      <c r="R230" s="251" t="str">
        <f t="shared" si="33"/>
        <v/>
      </c>
      <c r="S230" s="252" t="str">
        <f t="shared" si="34"/>
        <v/>
      </c>
      <c r="T230" s="253"/>
      <c r="U230" s="278">
        <v>0.12459999999999999</v>
      </c>
      <c r="V230" s="278">
        <v>0.12039999999999998</v>
      </c>
      <c r="W230" s="278">
        <v>0.10919999999999999</v>
      </c>
      <c r="X230" s="278">
        <v>9.6600000000000005E-2</v>
      </c>
      <c r="Y230" s="278">
        <v>8.4699999999999998E-2</v>
      </c>
      <c r="Z230" s="278">
        <v>7.9799999999999996E-2</v>
      </c>
      <c r="AA230" s="249"/>
      <c r="AB230" s="279"/>
      <c r="AC230" s="279"/>
      <c r="AD230" s="279"/>
      <c r="AE230" s="279"/>
      <c r="AF230" s="279"/>
      <c r="AG230" s="279"/>
      <c r="AH230" s="249"/>
      <c r="AI230" s="249"/>
      <c r="AJ230" s="249"/>
      <c r="AK230" s="249"/>
      <c r="AL230" s="249"/>
      <c r="AM230" s="249"/>
      <c r="AN230" s="249"/>
      <c r="AO230" s="249"/>
    </row>
    <row r="231" spans="13:41" x14ac:dyDescent="0.35">
      <c r="M231" s="277">
        <v>2961</v>
      </c>
      <c r="N231" s="251" t="str">
        <f t="shared" si="29"/>
        <v/>
      </c>
      <c r="O231" s="251" t="str">
        <f t="shared" si="30"/>
        <v/>
      </c>
      <c r="P231" s="251" t="str">
        <f t="shared" si="31"/>
        <v/>
      </c>
      <c r="Q231" s="251" t="str">
        <f t="shared" si="32"/>
        <v/>
      </c>
      <c r="R231" s="251" t="str">
        <f t="shared" si="33"/>
        <v/>
      </c>
      <c r="S231" s="252" t="str">
        <f t="shared" si="34"/>
        <v/>
      </c>
      <c r="T231" s="253"/>
      <c r="U231" s="278">
        <v>0.1323</v>
      </c>
      <c r="V231" s="278">
        <v>0.12739999999999999</v>
      </c>
      <c r="W231" s="278">
        <v>0.1162</v>
      </c>
      <c r="X231" s="278">
        <v>0.10359999999999998</v>
      </c>
      <c r="Y231" s="278">
        <v>9.1700000000000004E-2</v>
      </c>
      <c r="Z231" s="278">
        <v>8.6099999999999996E-2</v>
      </c>
      <c r="AA231" s="249"/>
      <c r="AB231" s="279"/>
      <c r="AC231" s="279"/>
      <c r="AD231" s="279"/>
      <c r="AE231" s="279"/>
      <c r="AF231" s="279"/>
      <c r="AG231" s="279"/>
      <c r="AH231" s="249"/>
      <c r="AI231" s="249"/>
      <c r="AJ231" s="249"/>
      <c r="AK231" s="249"/>
      <c r="AL231" s="249"/>
      <c r="AM231" s="249"/>
      <c r="AN231" s="249"/>
      <c r="AO231" s="249"/>
    </row>
    <row r="232" spans="13:41" x14ac:dyDescent="0.35">
      <c r="M232" s="277">
        <v>3387</v>
      </c>
      <c r="N232" s="251" t="str">
        <f t="shared" si="29"/>
        <v/>
      </c>
      <c r="O232" s="251" t="str">
        <f t="shared" si="30"/>
        <v/>
      </c>
      <c r="P232" s="251" t="str">
        <f t="shared" si="31"/>
        <v/>
      </c>
      <c r="Q232" s="251" t="str">
        <f t="shared" si="32"/>
        <v/>
      </c>
      <c r="R232" s="251" t="str">
        <f t="shared" si="33"/>
        <v/>
      </c>
      <c r="S232" s="252" t="str">
        <f t="shared" si="34"/>
        <v/>
      </c>
      <c r="T232" s="253"/>
      <c r="U232" s="278">
        <v>0.15049999999999999</v>
      </c>
      <c r="V232" s="278">
        <v>0.14979999999999999</v>
      </c>
      <c r="W232" s="278">
        <v>0.1386</v>
      </c>
      <c r="X232" s="278">
        <v>0.1288</v>
      </c>
      <c r="Y232" s="278">
        <v>0.1197</v>
      </c>
      <c r="Z232" s="278">
        <v>0.1169</v>
      </c>
      <c r="AA232" s="249"/>
      <c r="AB232" s="279"/>
      <c r="AC232" s="279"/>
      <c r="AD232" s="279"/>
      <c r="AE232" s="279"/>
      <c r="AF232" s="279"/>
      <c r="AG232" s="279"/>
      <c r="AH232" s="249"/>
      <c r="AI232" s="249"/>
      <c r="AJ232" s="249"/>
      <c r="AK232" s="249"/>
      <c r="AL232" s="249"/>
      <c r="AM232" s="249"/>
      <c r="AN232" s="249"/>
      <c r="AO232" s="249"/>
    </row>
    <row r="233" spans="13:41" x14ac:dyDescent="0.35">
      <c r="M233" s="277">
        <v>3644</v>
      </c>
      <c r="N233" s="251" t="str">
        <f t="shared" si="29"/>
        <v/>
      </c>
      <c r="O233" s="251" t="str">
        <f t="shared" si="30"/>
        <v/>
      </c>
      <c r="P233" s="251" t="str">
        <f t="shared" si="31"/>
        <v/>
      </c>
      <c r="Q233" s="251" t="str">
        <f t="shared" si="32"/>
        <v/>
      </c>
      <c r="R233" s="251" t="str">
        <f t="shared" si="33"/>
        <v/>
      </c>
      <c r="S233" s="252" t="str">
        <f t="shared" si="34"/>
        <v/>
      </c>
      <c r="T233" s="253"/>
      <c r="U233" s="278">
        <v>0.15679999999999999</v>
      </c>
      <c r="V233" s="278">
        <v>0.15609999999999999</v>
      </c>
      <c r="W233" s="278">
        <v>0.14699999999999999</v>
      </c>
      <c r="X233" s="278">
        <v>0.1358</v>
      </c>
      <c r="Y233" s="278">
        <v>0.13299999999999998</v>
      </c>
      <c r="Z233" s="278">
        <v>0.12319999999999999</v>
      </c>
      <c r="AA233" s="249"/>
      <c r="AB233" s="279"/>
      <c r="AC233" s="279"/>
      <c r="AD233" s="279"/>
      <c r="AE233" s="279"/>
      <c r="AF233" s="279"/>
      <c r="AG233" s="279"/>
      <c r="AH233" s="249"/>
      <c r="AI233" s="249"/>
      <c r="AJ233" s="249"/>
      <c r="AK233" s="249"/>
      <c r="AL233" s="249"/>
      <c r="AM233" s="249"/>
      <c r="AN233" s="249"/>
      <c r="AO233" s="249"/>
    </row>
    <row r="234" spans="13:41" x14ac:dyDescent="0.35">
      <c r="M234" s="277">
        <v>3917</v>
      </c>
      <c r="N234" s="251" t="str">
        <f t="shared" si="29"/>
        <v/>
      </c>
      <c r="O234" s="251" t="str">
        <f t="shared" si="30"/>
        <v/>
      </c>
      <c r="P234" s="251" t="str">
        <f t="shared" si="31"/>
        <v/>
      </c>
      <c r="Q234" s="251" t="str">
        <f t="shared" si="32"/>
        <v/>
      </c>
      <c r="R234" s="251" t="str">
        <f t="shared" si="33"/>
        <v/>
      </c>
      <c r="S234" s="252" t="str">
        <f t="shared" si="34"/>
        <v/>
      </c>
      <c r="T234" s="253"/>
      <c r="U234" s="278">
        <v>0.1638</v>
      </c>
      <c r="V234" s="278">
        <v>0.16309999999999999</v>
      </c>
      <c r="W234" s="278">
        <v>0.154</v>
      </c>
      <c r="X234" s="278">
        <v>0.14419999999999999</v>
      </c>
      <c r="Y234" s="278">
        <v>0.13999999999999999</v>
      </c>
      <c r="Z234" s="278">
        <v>0.13019999999999998</v>
      </c>
      <c r="AA234" s="249"/>
      <c r="AB234" s="279"/>
      <c r="AC234" s="279"/>
      <c r="AD234" s="279"/>
      <c r="AE234" s="279"/>
      <c r="AF234" s="279"/>
      <c r="AG234" s="279"/>
      <c r="AH234" s="249"/>
      <c r="AI234" s="249"/>
      <c r="AJ234" s="249"/>
      <c r="AK234" s="249"/>
      <c r="AL234" s="249"/>
      <c r="AM234" s="249"/>
      <c r="AN234" s="249"/>
      <c r="AO234" s="249"/>
    </row>
    <row r="235" spans="13:41" x14ac:dyDescent="0.35">
      <c r="M235" s="277">
        <v>4248</v>
      </c>
      <c r="N235" s="251" t="str">
        <f t="shared" si="29"/>
        <v/>
      </c>
      <c r="O235" s="251" t="str">
        <f t="shared" si="30"/>
        <v/>
      </c>
      <c r="P235" s="251" t="str">
        <f t="shared" si="31"/>
        <v/>
      </c>
      <c r="Q235" s="251" t="str">
        <f t="shared" si="32"/>
        <v/>
      </c>
      <c r="R235" s="251" t="str">
        <f t="shared" si="33"/>
        <v/>
      </c>
      <c r="S235" s="252" t="str">
        <f t="shared" si="34"/>
        <v/>
      </c>
      <c r="T235" s="253"/>
      <c r="U235" s="278">
        <v>0.17079999999999998</v>
      </c>
      <c r="V235" s="278">
        <v>0.17009999999999997</v>
      </c>
      <c r="W235" s="278">
        <v>0.1603</v>
      </c>
      <c r="X235" s="278">
        <v>0.1512</v>
      </c>
      <c r="Y235" s="278">
        <v>0.14839999999999998</v>
      </c>
      <c r="Z235" s="278">
        <v>0.14419999999999999</v>
      </c>
      <c r="AA235" s="249"/>
      <c r="AB235" s="279"/>
      <c r="AC235" s="279"/>
      <c r="AD235" s="279"/>
      <c r="AE235" s="279"/>
      <c r="AF235" s="279"/>
      <c r="AG235" s="279"/>
      <c r="AH235" s="249"/>
      <c r="AI235" s="249"/>
      <c r="AJ235" s="249"/>
      <c r="AK235" s="249"/>
      <c r="AL235" s="249"/>
      <c r="AM235" s="249"/>
      <c r="AN235" s="249"/>
      <c r="AO235" s="249"/>
    </row>
    <row r="236" spans="13:41" x14ac:dyDescent="0.35">
      <c r="M236" s="277">
        <v>4646</v>
      </c>
      <c r="N236" s="251" t="str">
        <f t="shared" si="29"/>
        <v/>
      </c>
      <c r="O236" s="251" t="str">
        <f t="shared" si="30"/>
        <v/>
      </c>
      <c r="P236" s="251" t="str">
        <f t="shared" si="31"/>
        <v/>
      </c>
      <c r="Q236" s="251" t="str">
        <f t="shared" si="32"/>
        <v/>
      </c>
      <c r="R236" s="251" t="str">
        <f t="shared" si="33"/>
        <v/>
      </c>
      <c r="S236" s="252" t="str">
        <f t="shared" si="34"/>
        <v/>
      </c>
      <c r="T236" s="253"/>
      <c r="U236" s="278">
        <v>0.18129999999999999</v>
      </c>
      <c r="V236" s="278">
        <v>0.17709999999999998</v>
      </c>
      <c r="W236" s="278">
        <v>0.16729999999999998</v>
      </c>
      <c r="X236" s="278">
        <v>0.1575</v>
      </c>
      <c r="Y236" s="278">
        <v>0.1547</v>
      </c>
      <c r="Z236" s="278">
        <v>0.15259999999999999</v>
      </c>
      <c r="AA236" s="249"/>
      <c r="AB236" s="279"/>
      <c r="AC236" s="279"/>
      <c r="AD236" s="279"/>
      <c r="AE236" s="279"/>
      <c r="AF236" s="279"/>
      <c r="AG236" s="279"/>
      <c r="AH236" s="249"/>
      <c r="AI236" s="249"/>
      <c r="AJ236" s="249"/>
      <c r="AK236" s="249"/>
      <c r="AL236" s="249"/>
      <c r="AM236" s="249"/>
      <c r="AN236" s="249"/>
      <c r="AO236" s="249"/>
    </row>
    <row r="237" spans="13:41" x14ac:dyDescent="0.35">
      <c r="M237" s="277">
        <v>5122</v>
      </c>
      <c r="N237" s="251" t="str">
        <f t="shared" si="29"/>
        <v/>
      </c>
      <c r="O237" s="251" t="str">
        <f t="shared" si="30"/>
        <v/>
      </c>
      <c r="P237" s="251" t="str">
        <f t="shared" si="31"/>
        <v/>
      </c>
      <c r="Q237" s="251" t="str">
        <f t="shared" si="32"/>
        <v/>
      </c>
      <c r="R237" s="251" t="str">
        <f t="shared" si="33"/>
        <v/>
      </c>
      <c r="S237" s="252" t="str">
        <f t="shared" si="34"/>
        <v/>
      </c>
      <c r="T237" s="253"/>
      <c r="U237" s="278">
        <v>0.1883</v>
      </c>
      <c r="V237" s="278">
        <v>0.18409999999999999</v>
      </c>
      <c r="W237" s="278">
        <v>0.18129999999999999</v>
      </c>
      <c r="X237" s="278">
        <v>0.16449999999999998</v>
      </c>
      <c r="Y237" s="278">
        <v>0.16170000000000001</v>
      </c>
      <c r="Z237" s="278">
        <v>0.15889999999999999</v>
      </c>
      <c r="AA237" s="249"/>
      <c r="AB237" s="279"/>
      <c r="AC237" s="279"/>
      <c r="AD237" s="279"/>
      <c r="AE237" s="279"/>
      <c r="AF237" s="279"/>
      <c r="AG237" s="279"/>
      <c r="AH237" s="249"/>
      <c r="AI237" s="249"/>
      <c r="AJ237" s="249"/>
      <c r="AK237" s="249"/>
      <c r="AL237" s="249"/>
      <c r="AM237" s="249"/>
      <c r="AN237" s="249"/>
      <c r="AO237" s="249"/>
    </row>
    <row r="238" spans="13:41" x14ac:dyDescent="0.35">
      <c r="M238" s="277">
        <v>5705</v>
      </c>
      <c r="N238" s="251" t="str">
        <f t="shared" si="29"/>
        <v/>
      </c>
      <c r="O238" s="251" t="str">
        <f t="shared" si="30"/>
        <v/>
      </c>
      <c r="P238" s="251" t="str">
        <f t="shared" si="31"/>
        <v/>
      </c>
      <c r="Q238" s="251" t="str">
        <f t="shared" si="32"/>
        <v/>
      </c>
      <c r="R238" s="251" t="str">
        <f t="shared" si="33"/>
        <v/>
      </c>
      <c r="S238" s="252" t="str">
        <f t="shared" si="34"/>
        <v/>
      </c>
      <c r="T238" s="253"/>
      <c r="U238" s="278">
        <v>0.1946</v>
      </c>
      <c r="V238" s="278">
        <v>0.19040000000000001</v>
      </c>
      <c r="W238" s="278">
        <v>0.1883</v>
      </c>
      <c r="X238" s="278">
        <v>0.17149999999999999</v>
      </c>
      <c r="Y238" s="278">
        <v>0.16869999999999999</v>
      </c>
      <c r="Z238" s="278">
        <v>0.16589999999999999</v>
      </c>
      <c r="AA238" s="249"/>
      <c r="AB238" s="279"/>
      <c r="AC238" s="279"/>
      <c r="AD238" s="279"/>
      <c r="AE238" s="279"/>
      <c r="AF238" s="279"/>
      <c r="AG238" s="279"/>
      <c r="AH238" s="249"/>
      <c r="AI238" s="249"/>
      <c r="AJ238" s="249"/>
      <c r="AK238" s="249"/>
      <c r="AL238" s="249"/>
      <c r="AM238" s="249"/>
      <c r="AN238" s="249"/>
      <c r="AO238" s="249"/>
    </row>
    <row r="239" spans="13:41" x14ac:dyDescent="0.35">
      <c r="M239" s="277">
        <v>6439</v>
      </c>
      <c r="N239" s="251" t="str">
        <f t="shared" si="29"/>
        <v/>
      </c>
      <c r="O239" s="251" t="str">
        <f t="shared" si="30"/>
        <v/>
      </c>
      <c r="P239" s="251" t="str">
        <f t="shared" si="31"/>
        <v/>
      </c>
      <c r="Q239" s="251" t="str">
        <f t="shared" si="32"/>
        <v/>
      </c>
      <c r="R239" s="251" t="str">
        <f t="shared" si="33"/>
        <v/>
      </c>
      <c r="S239" s="252" t="str">
        <f t="shared" si="34"/>
        <v/>
      </c>
      <c r="T239" s="253"/>
      <c r="U239" s="278">
        <v>0.20159999999999997</v>
      </c>
      <c r="V239" s="278">
        <v>0.19739999999999996</v>
      </c>
      <c r="W239" s="278">
        <v>0.1946</v>
      </c>
      <c r="X239" s="278">
        <v>0.17849999999999999</v>
      </c>
      <c r="Y239" s="278">
        <v>0.1757</v>
      </c>
      <c r="Z239" s="278">
        <v>0.1729</v>
      </c>
      <c r="AA239" s="249"/>
      <c r="AB239" s="279"/>
      <c r="AC239" s="279"/>
      <c r="AD239" s="279"/>
      <c r="AE239" s="279"/>
      <c r="AF239" s="279"/>
      <c r="AG239" s="279"/>
      <c r="AH239" s="249"/>
      <c r="AI239" s="249"/>
      <c r="AJ239" s="249"/>
      <c r="AK239" s="249"/>
      <c r="AL239" s="249"/>
      <c r="AM239" s="249"/>
      <c r="AN239" s="249"/>
      <c r="AO239" s="249"/>
    </row>
    <row r="240" spans="13:41" x14ac:dyDescent="0.35">
      <c r="M240" s="277">
        <v>7389</v>
      </c>
      <c r="N240" s="251" t="str">
        <f t="shared" si="29"/>
        <v/>
      </c>
      <c r="O240" s="251" t="str">
        <f t="shared" si="30"/>
        <v/>
      </c>
      <c r="P240" s="251" t="str">
        <f t="shared" si="31"/>
        <v/>
      </c>
      <c r="Q240" s="251" t="str">
        <f t="shared" si="32"/>
        <v/>
      </c>
      <c r="R240" s="251" t="str">
        <f t="shared" si="33"/>
        <v/>
      </c>
      <c r="S240" s="252" t="str">
        <f t="shared" si="34"/>
        <v/>
      </c>
      <c r="T240" s="253"/>
      <c r="U240" s="278">
        <v>0.20789999999999997</v>
      </c>
      <c r="V240" s="278">
        <v>0.20719999999999997</v>
      </c>
      <c r="W240" s="278">
        <v>0.20439999999999997</v>
      </c>
      <c r="X240" s="278">
        <v>0.189</v>
      </c>
      <c r="Y240" s="278">
        <v>0.1883</v>
      </c>
      <c r="Z240" s="278">
        <v>0.18690000000000001</v>
      </c>
      <c r="AA240" s="249"/>
      <c r="AB240" s="279"/>
      <c r="AC240" s="279"/>
      <c r="AD240" s="279"/>
      <c r="AE240" s="279"/>
      <c r="AF240" s="279"/>
      <c r="AG240" s="279"/>
      <c r="AH240" s="249"/>
      <c r="AI240" s="249"/>
      <c r="AJ240" s="249"/>
      <c r="AK240" s="249"/>
      <c r="AL240" s="249"/>
      <c r="AM240" s="249"/>
      <c r="AN240" s="249"/>
      <c r="AO240" s="249"/>
    </row>
    <row r="241" spans="13:41" x14ac:dyDescent="0.35">
      <c r="M241" s="277">
        <v>8517</v>
      </c>
      <c r="N241" s="251" t="str">
        <f t="shared" si="29"/>
        <v/>
      </c>
      <c r="O241" s="251" t="str">
        <f t="shared" si="30"/>
        <v/>
      </c>
      <c r="P241" s="251" t="str">
        <f t="shared" si="31"/>
        <v/>
      </c>
      <c r="Q241" s="251" t="str">
        <f t="shared" si="32"/>
        <v/>
      </c>
      <c r="R241" s="251" t="str">
        <f t="shared" si="33"/>
        <v/>
      </c>
      <c r="S241" s="252" t="str">
        <f t="shared" si="34"/>
        <v/>
      </c>
      <c r="T241" s="253"/>
      <c r="U241" s="278">
        <v>0.21489999999999998</v>
      </c>
      <c r="V241" s="278">
        <v>0.21419999999999997</v>
      </c>
      <c r="W241" s="278">
        <v>0.21279999999999999</v>
      </c>
      <c r="X241" s="278">
        <v>0.20299999999999999</v>
      </c>
      <c r="Y241" s="278">
        <v>0.1946</v>
      </c>
      <c r="Z241" s="278">
        <v>0.19320000000000001</v>
      </c>
      <c r="AA241" s="249"/>
      <c r="AB241" s="279"/>
      <c r="AC241" s="279"/>
      <c r="AD241" s="279"/>
      <c r="AE241" s="279"/>
      <c r="AF241" s="279"/>
      <c r="AG241" s="279"/>
      <c r="AH241" s="249"/>
      <c r="AI241" s="249"/>
      <c r="AJ241" s="249"/>
      <c r="AK241" s="249"/>
      <c r="AL241" s="249"/>
      <c r="AM241" s="249"/>
      <c r="AN241" s="249"/>
      <c r="AO241" s="249"/>
    </row>
    <row r="242" spans="13:41" x14ac:dyDescent="0.35">
      <c r="M242" s="277">
        <v>9421</v>
      </c>
      <c r="N242" s="251" t="str">
        <f t="shared" si="29"/>
        <v/>
      </c>
      <c r="O242" s="251" t="str">
        <f t="shared" si="30"/>
        <v/>
      </c>
      <c r="P242" s="251" t="str">
        <f t="shared" si="31"/>
        <v/>
      </c>
      <c r="Q242" s="251" t="str">
        <f t="shared" si="32"/>
        <v/>
      </c>
      <c r="R242" s="251" t="str">
        <f t="shared" si="33"/>
        <v/>
      </c>
      <c r="S242" s="252" t="str">
        <f t="shared" si="34"/>
        <v/>
      </c>
      <c r="T242" s="253"/>
      <c r="U242" s="278">
        <v>0.22469999999999998</v>
      </c>
      <c r="V242" s="278">
        <v>0.22399999999999998</v>
      </c>
      <c r="W242" s="278">
        <v>0.2233</v>
      </c>
      <c r="X242" s="278">
        <v>0.21489999999999998</v>
      </c>
      <c r="Y242" s="278">
        <v>0.20509999999999998</v>
      </c>
      <c r="Z242" s="278">
        <v>0.20369999999999996</v>
      </c>
      <c r="AA242" s="249"/>
      <c r="AB242" s="279"/>
      <c r="AC242" s="279"/>
      <c r="AD242" s="279"/>
      <c r="AE242" s="279"/>
      <c r="AF242" s="279"/>
      <c r="AG242" s="279"/>
      <c r="AH242" s="249"/>
      <c r="AI242" s="249"/>
      <c r="AJ242" s="249"/>
      <c r="AK242" s="249"/>
      <c r="AL242" s="249"/>
      <c r="AM242" s="249"/>
      <c r="AN242" s="249"/>
      <c r="AO242" s="249"/>
    </row>
    <row r="243" spans="13:41" x14ac:dyDescent="0.35">
      <c r="M243" s="277">
        <v>10543</v>
      </c>
      <c r="N243" s="251" t="str">
        <f t="shared" si="29"/>
        <v/>
      </c>
      <c r="O243" s="251" t="str">
        <f t="shared" si="30"/>
        <v/>
      </c>
      <c r="P243" s="251" t="str">
        <f t="shared" si="31"/>
        <v/>
      </c>
      <c r="Q243" s="251" t="str">
        <f t="shared" si="32"/>
        <v/>
      </c>
      <c r="R243" s="251" t="str">
        <f t="shared" si="33"/>
        <v/>
      </c>
      <c r="S243" s="252" t="str">
        <f t="shared" si="34"/>
        <v/>
      </c>
      <c r="T243" s="253"/>
      <c r="U243" s="278">
        <v>0.23169999999999999</v>
      </c>
      <c r="V243" s="278">
        <v>0.23099999999999998</v>
      </c>
      <c r="W243" s="278">
        <v>0.2296</v>
      </c>
      <c r="X243" s="278">
        <v>0.22189999999999999</v>
      </c>
      <c r="Y243" s="278">
        <v>0.22049999999999997</v>
      </c>
      <c r="Z243" s="278">
        <v>0.21</v>
      </c>
      <c r="AA243" s="249"/>
      <c r="AB243" s="279"/>
      <c r="AC243" s="279"/>
      <c r="AD243" s="279"/>
      <c r="AE243" s="279"/>
      <c r="AF243" s="279"/>
      <c r="AG243" s="279"/>
      <c r="AH243" s="249"/>
      <c r="AI243" s="249"/>
      <c r="AJ243" s="249"/>
      <c r="AK243" s="249"/>
      <c r="AL243" s="249"/>
      <c r="AM243" s="249"/>
      <c r="AN243" s="249"/>
      <c r="AO243" s="249"/>
    </row>
    <row r="244" spans="13:41" x14ac:dyDescent="0.35">
      <c r="M244" s="277">
        <v>14140</v>
      </c>
      <c r="N244" s="251" t="str">
        <f t="shared" si="29"/>
        <v/>
      </c>
      <c r="O244" s="251" t="str">
        <f t="shared" si="30"/>
        <v/>
      </c>
      <c r="P244" s="251" t="str">
        <f t="shared" si="31"/>
        <v/>
      </c>
      <c r="Q244" s="251" t="str">
        <f t="shared" si="32"/>
        <v/>
      </c>
      <c r="R244" s="251" t="str">
        <f t="shared" si="33"/>
        <v/>
      </c>
      <c r="S244" s="252" t="str">
        <f t="shared" si="34"/>
        <v/>
      </c>
      <c r="T244" s="253"/>
      <c r="U244" s="278">
        <v>0.24079999999999996</v>
      </c>
      <c r="V244" s="278">
        <v>0.24010000000000001</v>
      </c>
      <c r="W244" s="278">
        <v>0.2366</v>
      </c>
      <c r="X244" s="278">
        <v>0.22819999999999999</v>
      </c>
      <c r="Y244" s="278">
        <v>0.2268</v>
      </c>
      <c r="Z244" s="278">
        <v>0.21909999999999999</v>
      </c>
      <c r="AA244" s="249"/>
      <c r="AB244" s="279"/>
      <c r="AC244" s="279"/>
      <c r="AD244" s="279"/>
      <c r="AE244" s="279"/>
      <c r="AF244" s="279"/>
      <c r="AG244" s="279"/>
      <c r="AH244" s="249"/>
      <c r="AI244" s="249"/>
      <c r="AJ244" s="249"/>
      <c r="AK244" s="249"/>
      <c r="AL244" s="249"/>
      <c r="AM244" s="249"/>
      <c r="AN244" s="249"/>
      <c r="AO244" s="249"/>
    </row>
    <row r="245" spans="13:41" x14ac:dyDescent="0.35">
      <c r="M245" s="277">
        <v>20300</v>
      </c>
      <c r="N245" s="251" t="str">
        <f t="shared" si="29"/>
        <v/>
      </c>
      <c r="O245" s="251" t="str">
        <f t="shared" si="30"/>
        <v/>
      </c>
      <c r="P245" s="251" t="str">
        <f t="shared" si="31"/>
        <v/>
      </c>
      <c r="Q245" s="251" t="str">
        <f t="shared" si="32"/>
        <v/>
      </c>
      <c r="R245" s="251" t="str">
        <f t="shared" si="33"/>
        <v/>
      </c>
      <c r="S245" s="252" t="str">
        <f t="shared" si="34"/>
        <v/>
      </c>
      <c r="T245" s="253"/>
      <c r="U245" s="278">
        <v>0.25479999999999997</v>
      </c>
      <c r="V245" s="278">
        <v>0.25409999999999999</v>
      </c>
      <c r="W245" s="278">
        <v>0.25339999999999996</v>
      </c>
      <c r="X245" s="278">
        <v>0.24569999999999997</v>
      </c>
      <c r="Y245" s="278">
        <v>0.24429999999999996</v>
      </c>
      <c r="Z245" s="278">
        <v>0.2359</v>
      </c>
      <c r="AA245" s="249"/>
      <c r="AB245" s="279"/>
      <c r="AC245" s="279"/>
      <c r="AD245" s="279"/>
      <c r="AE245" s="279"/>
      <c r="AF245" s="279"/>
      <c r="AG245" s="279"/>
      <c r="AH245" s="249"/>
      <c r="AI245" s="249"/>
      <c r="AJ245" s="249"/>
      <c r="AK245" s="249"/>
      <c r="AL245" s="249"/>
      <c r="AM245" s="249"/>
      <c r="AN245" s="249"/>
      <c r="AO245" s="249"/>
    </row>
    <row r="246" spans="13:41" x14ac:dyDescent="0.35">
      <c r="M246" s="277">
        <v>22954</v>
      </c>
      <c r="N246" s="251" t="str">
        <f t="shared" si="29"/>
        <v/>
      </c>
      <c r="O246" s="251" t="str">
        <f t="shared" si="30"/>
        <v/>
      </c>
      <c r="P246" s="251" t="str">
        <f t="shared" si="31"/>
        <v/>
      </c>
      <c r="Q246" s="251" t="str">
        <f t="shared" si="32"/>
        <v/>
      </c>
      <c r="R246" s="251" t="str">
        <f t="shared" si="33"/>
        <v/>
      </c>
      <c r="S246" s="252" t="str">
        <f t="shared" si="34"/>
        <v/>
      </c>
      <c r="T246" s="253"/>
      <c r="U246" s="278">
        <v>0.2611</v>
      </c>
      <c r="V246" s="278">
        <v>0.26039999999999996</v>
      </c>
      <c r="W246" s="278">
        <v>0.25969999999999999</v>
      </c>
      <c r="X246" s="278">
        <v>0.2555</v>
      </c>
      <c r="Y246" s="278">
        <v>0.25129999999999997</v>
      </c>
      <c r="Z246" s="278">
        <v>0.24289999999999998</v>
      </c>
      <c r="AA246" s="249"/>
      <c r="AB246" s="279"/>
      <c r="AC246" s="279"/>
      <c r="AD246" s="279"/>
      <c r="AE246" s="279"/>
      <c r="AF246" s="279"/>
      <c r="AG246" s="279"/>
      <c r="AH246" s="249"/>
      <c r="AI246" s="249"/>
      <c r="AJ246" s="249"/>
      <c r="AK246" s="249"/>
      <c r="AL246" s="249"/>
      <c r="AM246" s="249"/>
      <c r="AN246" s="249"/>
      <c r="AO246" s="249"/>
    </row>
    <row r="247" spans="13:41" x14ac:dyDescent="0.35">
      <c r="M247" s="277">
        <v>25504</v>
      </c>
      <c r="N247" s="251" t="str">
        <f t="shared" si="29"/>
        <v/>
      </c>
      <c r="O247" s="251" t="str">
        <f t="shared" si="30"/>
        <v/>
      </c>
      <c r="P247" s="251" t="str">
        <f t="shared" si="31"/>
        <v/>
      </c>
      <c r="Q247" s="251" t="str">
        <f t="shared" si="32"/>
        <v/>
      </c>
      <c r="R247" s="251" t="str">
        <f t="shared" si="33"/>
        <v/>
      </c>
      <c r="S247" s="252" t="str">
        <f t="shared" si="34"/>
        <v/>
      </c>
      <c r="T247" s="253"/>
      <c r="U247" s="278">
        <v>0.2681</v>
      </c>
      <c r="V247" s="278">
        <v>0.26739999999999997</v>
      </c>
      <c r="W247" s="278">
        <v>0.26669999999999999</v>
      </c>
      <c r="X247" s="278">
        <v>0.26179999999999998</v>
      </c>
      <c r="Y247" s="278">
        <v>0.26039999999999996</v>
      </c>
      <c r="Z247" s="278">
        <v>0.24989999999999998</v>
      </c>
      <c r="AA247" s="249"/>
      <c r="AB247" s="279"/>
      <c r="AC247" s="279"/>
      <c r="AD247" s="279"/>
      <c r="AE247" s="279"/>
      <c r="AF247" s="279"/>
      <c r="AG247" s="279"/>
      <c r="AH247" s="249"/>
      <c r="AI247" s="249"/>
      <c r="AJ247" s="249"/>
      <c r="AK247" s="249"/>
      <c r="AL247" s="249"/>
      <c r="AM247" s="249"/>
      <c r="AN247" s="249"/>
      <c r="AO247" s="249"/>
    </row>
    <row r="248" spans="13:41" x14ac:dyDescent="0.35">
      <c r="M248" s="277">
        <v>28564</v>
      </c>
      <c r="N248" s="251" t="str">
        <f t="shared" si="29"/>
        <v/>
      </c>
      <c r="O248" s="251" t="str">
        <f t="shared" si="30"/>
        <v/>
      </c>
      <c r="P248" s="251" t="str">
        <f t="shared" si="31"/>
        <v/>
      </c>
      <c r="Q248" s="251" t="str">
        <f t="shared" si="32"/>
        <v/>
      </c>
      <c r="R248" s="251" t="str">
        <f t="shared" si="33"/>
        <v/>
      </c>
      <c r="S248" s="252" t="str">
        <f t="shared" si="34"/>
        <v/>
      </c>
      <c r="T248" s="253"/>
      <c r="U248" s="278">
        <v>0.27510000000000001</v>
      </c>
      <c r="V248" s="278">
        <v>0.27439999999999998</v>
      </c>
      <c r="W248" s="278">
        <v>0.2737</v>
      </c>
      <c r="X248" s="278">
        <v>0.26879999999999998</v>
      </c>
      <c r="Y248" s="278">
        <v>0.26739999999999997</v>
      </c>
      <c r="Z248" s="278">
        <v>0.25900000000000001</v>
      </c>
      <c r="AA248" s="249"/>
      <c r="AB248" s="279"/>
      <c r="AC248" s="279"/>
      <c r="AD248" s="279"/>
      <c r="AE248" s="279"/>
      <c r="AF248" s="279"/>
      <c r="AG248" s="279"/>
      <c r="AH248" s="249"/>
      <c r="AI248" s="249"/>
      <c r="AJ248" s="249"/>
      <c r="AK248" s="249"/>
      <c r="AL248" s="249"/>
      <c r="AM248" s="249"/>
      <c r="AN248" s="249"/>
      <c r="AO248" s="249"/>
    </row>
    <row r="249" spans="13:41" x14ac:dyDescent="0.35">
      <c r="M249" s="277">
        <v>28564</v>
      </c>
      <c r="N249" s="251" t="str">
        <f t="shared" si="29"/>
        <v/>
      </c>
      <c r="O249" s="251" t="str">
        <f t="shared" si="30"/>
        <v/>
      </c>
      <c r="P249" s="251" t="str">
        <f t="shared" si="31"/>
        <v/>
      </c>
      <c r="Q249" s="251" t="str">
        <f t="shared" si="32"/>
        <v/>
      </c>
      <c r="R249" s="251" t="str">
        <f t="shared" si="33"/>
        <v/>
      </c>
      <c r="S249" s="252" t="str">
        <f t="shared" si="34"/>
        <v/>
      </c>
      <c r="T249" s="253"/>
      <c r="U249" s="278">
        <v>0.28210000000000002</v>
      </c>
      <c r="V249" s="278">
        <v>0.28139999999999998</v>
      </c>
      <c r="W249" s="278">
        <v>0.28070000000000001</v>
      </c>
      <c r="X249" s="278">
        <v>0.27579999999999999</v>
      </c>
      <c r="Y249" s="278">
        <v>0.27439999999999998</v>
      </c>
      <c r="Z249" s="278">
        <v>0.26599999999999996</v>
      </c>
      <c r="AA249" s="249"/>
      <c r="AB249" s="279"/>
      <c r="AC249" s="279"/>
      <c r="AD249" s="279"/>
      <c r="AE249" s="279"/>
      <c r="AF249" s="279"/>
      <c r="AG249" s="279"/>
      <c r="AH249" s="249"/>
      <c r="AI249" s="249"/>
      <c r="AJ249" s="249"/>
      <c r="AK249" s="249"/>
      <c r="AL249" s="249"/>
      <c r="AM249" s="249"/>
      <c r="AN249" s="249"/>
      <c r="AO249" s="249"/>
    </row>
    <row r="250" spans="13:41" x14ac:dyDescent="0.35">
      <c r="M250" s="277">
        <v>28564</v>
      </c>
      <c r="N250" s="251" t="str">
        <f>IF($R$11&gt;=M249+0.01,U250,"")</f>
        <v/>
      </c>
      <c r="O250" s="251" t="str">
        <f>IF($R$11&gt;=M249,V250,"")</f>
        <v/>
      </c>
      <c r="P250" s="251" t="str">
        <f>IF($R$11&gt;=M249,W250,"")</f>
        <v/>
      </c>
      <c r="Q250" s="251" t="str">
        <f>IF($R$11&gt;=M249,X250,"")</f>
        <v/>
      </c>
      <c r="R250" s="252" t="str">
        <f>IF($R$11&gt;=M249,Y250,"")</f>
        <v/>
      </c>
      <c r="S250" s="251" t="str">
        <f>IF($R$11&gt;=M249,Z250,"")</f>
        <v/>
      </c>
      <c r="T250" s="253"/>
      <c r="U250" s="278">
        <v>0.28210000000000002</v>
      </c>
      <c r="V250" s="278">
        <v>0.28139999999999998</v>
      </c>
      <c r="W250" s="278">
        <v>0.28070000000000001</v>
      </c>
      <c r="X250" s="278">
        <v>0.27579999999999999</v>
      </c>
      <c r="Y250" s="278">
        <v>0.27439999999999998</v>
      </c>
      <c r="Z250" s="278">
        <v>0.26599999999999996</v>
      </c>
      <c r="AA250" s="249"/>
      <c r="AB250" s="279"/>
      <c r="AC250" s="279"/>
      <c r="AD250" s="279"/>
      <c r="AE250" s="279"/>
      <c r="AF250" s="279"/>
      <c r="AG250" s="279"/>
      <c r="AH250" s="249"/>
      <c r="AI250" s="249"/>
      <c r="AJ250" s="249"/>
      <c r="AK250" s="249"/>
      <c r="AL250" s="249"/>
      <c r="AM250" s="249"/>
      <c r="AN250" s="249"/>
      <c r="AO250" s="249"/>
    </row>
    <row r="251" spans="13:41" x14ac:dyDescent="0.35">
      <c r="M251" s="249"/>
      <c r="N251" s="280" t="str">
        <f>IF($A$15=2,IF($A$2=2,IF($I$2=0,SUM(N214:N250),""),""),"")</f>
        <v/>
      </c>
      <c r="O251" s="281" t="str">
        <f>IF($A$15=2,IF($A$2=2,IF($I$2=1,SUM(O214:O250),""),""),"")</f>
        <v/>
      </c>
      <c r="P251" s="281" t="str">
        <f>IF($A$15=2,IF($A$2=2,IF($I$2=2,SUM(P214:P250),""),""),"")</f>
        <v/>
      </c>
      <c r="Q251" s="281" t="str">
        <f>IF($A$15=2,IF($A$2=2,IF($I$2=3,SUM(Q214:Q250),""),""),"")</f>
        <v/>
      </c>
      <c r="R251" s="281" t="str">
        <f>IF($A$15=2,IF($A$2=2,IF($I$2=4,SUM(R214:R250),""),""),"")</f>
        <v/>
      </c>
      <c r="S251" s="282" t="str">
        <f>IF($A$15=2,IF($A$2=2,IF($I$2=5,SUM(S214:S250),""),""),"")</f>
        <v/>
      </c>
      <c r="T251" s="260">
        <f>SUM(N251:S251)</f>
        <v>0</v>
      </c>
      <c r="U251" s="253"/>
      <c r="V251" s="253"/>
      <c r="W251" s="253"/>
      <c r="X251" s="253"/>
      <c r="Y251" s="253"/>
      <c r="Z251" s="253"/>
      <c r="AA251" s="249"/>
      <c r="AB251" s="279"/>
      <c r="AC251" s="279"/>
      <c r="AD251" s="279"/>
      <c r="AE251" s="279"/>
      <c r="AF251" s="279"/>
      <c r="AG251" s="279"/>
      <c r="AH251" s="249"/>
      <c r="AI251" s="249"/>
      <c r="AJ251" s="249"/>
      <c r="AK251" s="249"/>
      <c r="AL251" s="249"/>
      <c r="AM251" s="249"/>
      <c r="AN251" s="249"/>
      <c r="AO251" s="249"/>
    </row>
    <row r="252" spans="13:41" x14ac:dyDescent="0.35">
      <c r="M252" s="249"/>
      <c r="N252" s="249"/>
      <c r="O252" s="249"/>
      <c r="P252" s="249"/>
      <c r="Q252" s="249"/>
      <c r="R252" s="249"/>
      <c r="S252" s="249"/>
      <c r="T252" s="253"/>
      <c r="U252" s="253"/>
      <c r="V252" s="253"/>
      <c r="W252" s="253"/>
      <c r="X252" s="253"/>
      <c r="Y252" s="253"/>
      <c r="Z252" s="253"/>
      <c r="AA252" s="249"/>
      <c r="AB252" s="249"/>
      <c r="AC252" s="249"/>
      <c r="AD252" s="249"/>
      <c r="AE252" s="249"/>
      <c r="AF252" s="249"/>
      <c r="AG252" s="249"/>
      <c r="AH252" s="249"/>
      <c r="AI252" s="249"/>
      <c r="AJ252" s="249"/>
      <c r="AK252" s="249"/>
      <c r="AL252" s="249"/>
      <c r="AM252" s="249"/>
      <c r="AN252" s="249"/>
      <c r="AO252" s="249"/>
    </row>
    <row r="253" spans="13:41" x14ac:dyDescent="0.35">
      <c r="M253" s="249"/>
      <c r="N253" s="249"/>
      <c r="O253" s="249"/>
      <c r="P253" s="249"/>
      <c r="Q253" s="249"/>
      <c r="R253" s="249"/>
      <c r="S253" s="249"/>
      <c r="T253" s="253"/>
      <c r="U253" s="253"/>
      <c r="V253" s="253"/>
      <c r="W253" s="253"/>
      <c r="X253" s="253"/>
      <c r="Y253" s="253"/>
      <c r="Z253" s="253"/>
      <c r="AA253" s="249"/>
      <c r="AB253" s="249"/>
      <c r="AC253" s="249"/>
      <c r="AD253" s="249"/>
      <c r="AE253" s="249"/>
      <c r="AF253" s="249"/>
      <c r="AG253" s="249"/>
      <c r="AH253" s="249"/>
      <c r="AI253" s="249"/>
      <c r="AJ253" s="249"/>
      <c r="AK253" s="249"/>
      <c r="AL253" s="249"/>
      <c r="AM253" s="249"/>
      <c r="AN253" s="249"/>
      <c r="AO253" s="249"/>
    </row>
    <row r="254" spans="13:41" x14ac:dyDescent="0.35">
      <c r="M254" s="249"/>
      <c r="N254" s="249"/>
      <c r="O254" s="249"/>
      <c r="P254" s="249"/>
      <c r="Q254" s="249"/>
      <c r="R254" s="249"/>
      <c r="S254" s="249"/>
      <c r="T254" s="253"/>
      <c r="U254" s="253"/>
      <c r="V254" s="253"/>
      <c r="W254" s="253"/>
      <c r="X254" s="253"/>
      <c r="Y254" s="253"/>
      <c r="Z254" s="253"/>
      <c r="AA254" s="249"/>
      <c r="AB254" s="249"/>
      <c r="AC254" s="249"/>
      <c r="AD254" s="249"/>
      <c r="AE254" s="249"/>
      <c r="AF254" s="249"/>
      <c r="AG254" s="249"/>
      <c r="AH254" s="249"/>
      <c r="AI254" s="249"/>
      <c r="AJ254" s="249"/>
      <c r="AK254" s="249"/>
      <c r="AL254" s="249"/>
      <c r="AM254" s="249"/>
      <c r="AN254" s="249"/>
      <c r="AO254" s="249"/>
    </row>
    <row r="255" spans="13:41" x14ac:dyDescent="0.35">
      <c r="M255" s="263" t="s">
        <v>214</v>
      </c>
      <c r="N255" s="272"/>
      <c r="O255" s="273" t="s">
        <v>256</v>
      </c>
      <c r="P255" s="283"/>
      <c r="Q255" s="273"/>
      <c r="R255" s="273"/>
      <c r="S255" s="273"/>
      <c r="T255" s="253"/>
      <c r="U255" s="275" t="str">
        <f>O255</f>
        <v>Tabelas de IRS de retenção na fonte referente a 2022 nos Açores</v>
      </c>
      <c r="V255" s="253"/>
      <c r="W255" s="253"/>
      <c r="X255" s="253"/>
      <c r="Y255" s="253"/>
      <c r="Z255" s="253"/>
      <c r="AA255" s="249"/>
      <c r="AB255" s="249"/>
      <c r="AC255" s="249"/>
      <c r="AD255" s="249"/>
      <c r="AE255" s="249"/>
      <c r="AF255" s="249"/>
      <c r="AG255" s="249"/>
      <c r="AH255" s="249"/>
      <c r="AI255" s="249"/>
      <c r="AJ255" s="249"/>
      <c r="AK255" s="249"/>
      <c r="AL255" s="249"/>
      <c r="AM255" s="249"/>
      <c r="AN255" s="249"/>
      <c r="AO255" s="249"/>
    </row>
    <row r="256" spans="13:41" x14ac:dyDescent="0.35">
      <c r="M256" s="273"/>
      <c r="N256" s="273"/>
      <c r="O256" s="273" t="s">
        <v>179</v>
      </c>
      <c r="P256" s="273"/>
      <c r="Q256" s="273"/>
      <c r="R256" s="273"/>
      <c r="S256" s="273"/>
      <c r="T256" s="253"/>
      <c r="U256" s="275" t="str">
        <f>M255</f>
        <v>Actualizado para …</v>
      </c>
      <c r="V256" s="253"/>
      <c r="W256" s="253"/>
      <c r="X256" s="253"/>
      <c r="Y256" s="253"/>
      <c r="Z256" s="253"/>
      <c r="AA256" s="249"/>
      <c r="AB256" s="249"/>
      <c r="AC256" s="249"/>
      <c r="AD256" s="249"/>
      <c r="AE256" s="249"/>
      <c r="AF256" s="249"/>
      <c r="AG256" s="249"/>
      <c r="AH256" s="249"/>
      <c r="AI256" s="249"/>
      <c r="AJ256" s="249"/>
      <c r="AK256" s="249"/>
      <c r="AL256" s="249"/>
      <c r="AM256" s="249"/>
      <c r="AN256" s="249"/>
      <c r="AO256" s="249"/>
    </row>
    <row r="257" spans="13:41" x14ac:dyDescent="0.35">
      <c r="M257" s="273"/>
      <c r="N257" s="273"/>
      <c r="O257" s="273" t="s">
        <v>184</v>
      </c>
      <c r="P257" s="273"/>
      <c r="Q257" s="273"/>
      <c r="R257" s="273"/>
      <c r="S257" s="273"/>
      <c r="T257" s="253"/>
      <c r="U257" s="275" t="str">
        <f>O257</f>
        <v>2 titulares</v>
      </c>
      <c r="V257" s="253"/>
      <c r="W257" s="253"/>
      <c r="X257" s="253"/>
      <c r="Y257" s="253"/>
      <c r="Z257" s="253"/>
      <c r="AA257" s="249"/>
      <c r="AB257" s="249"/>
      <c r="AC257" s="249"/>
      <c r="AD257" s="249"/>
      <c r="AE257" s="249"/>
      <c r="AF257" s="249"/>
      <c r="AG257" s="249"/>
      <c r="AH257" s="249"/>
      <c r="AI257" s="249"/>
      <c r="AJ257" s="249"/>
      <c r="AK257" s="249"/>
      <c r="AL257" s="249"/>
      <c r="AM257" s="249"/>
      <c r="AN257" s="249"/>
      <c r="AO257" s="249"/>
    </row>
    <row r="258" spans="13:41" x14ac:dyDescent="0.35">
      <c r="M258" s="267" t="s">
        <v>154</v>
      </c>
      <c r="N258" s="268" t="s">
        <v>155</v>
      </c>
      <c r="O258" s="268" t="s">
        <v>156</v>
      </c>
      <c r="P258" s="268" t="s">
        <v>157</v>
      </c>
      <c r="Q258" s="268" t="s">
        <v>158</v>
      </c>
      <c r="R258" s="268" t="s">
        <v>159</v>
      </c>
      <c r="S258" s="268" t="s">
        <v>160</v>
      </c>
      <c r="T258" s="253"/>
      <c r="U258" s="269" t="str">
        <f t="shared" ref="U258:Z258" si="35">N258</f>
        <v>0 dep</v>
      </c>
      <c r="V258" s="269" t="str">
        <f t="shared" si="35"/>
        <v>1 dep</v>
      </c>
      <c r="W258" s="269" t="str">
        <f t="shared" si="35"/>
        <v>2 dep</v>
      </c>
      <c r="X258" s="269" t="str">
        <f t="shared" si="35"/>
        <v>3 dep</v>
      </c>
      <c r="Y258" s="269" t="str">
        <f t="shared" si="35"/>
        <v>4 dep</v>
      </c>
      <c r="Z258" s="269" t="str">
        <f t="shared" si="35"/>
        <v>5 dep. ou +</v>
      </c>
      <c r="AA258" s="249"/>
      <c r="AB258" s="249"/>
      <c r="AC258" s="249"/>
      <c r="AD258" s="249"/>
      <c r="AE258" s="249"/>
      <c r="AF258" s="249"/>
      <c r="AG258" s="249"/>
      <c r="AH258" s="249"/>
      <c r="AI258" s="249"/>
      <c r="AJ258" s="249"/>
      <c r="AK258" s="249"/>
      <c r="AL258" s="249"/>
      <c r="AM258" s="249"/>
      <c r="AN258" s="249"/>
      <c r="AO258" s="249"/>
    </row>
    <row r="259" spans="13:41" x14ac:dyDescent="0.35">
      <c r="M259" s="277">
        <v>741</v>
      </c>
      <c r="N259" s="251" t="str">
        <f>IF($R$11&lt;=M259,IF($R$11&gt;=0,0,""),"")</f>
        <v/>
      </c>
      <c r="O259" s="251" t="str">
        <f>IF($R$11&lt;=M259,IF($R$11&gt;=0,0,""),"")</f>
        <v/>
      </c>
      <c r="P259" s="251" t="str">
        <f>IF($R$11&lt;=M259,IF($R$11&gt;=0,0,""),"")</f>
        <v/>
      </c>
      <c r="Q259" s="251" t="str">
        <f>IF($R$11&lt;=M259,IF($R$11&gt;=0,0,""),"")</f>
        <v/>
      </c>
      <c r="R259" s="251" t="str">
        <f>IF($R$11&lt;=M259,IF($R$11&gt;=0,0,""),"")</f>
        <v/>
      </c>
      <c r="S259" s="251" t="str">
        <f>IF($R$11&lt;=M259,IF($R$11&gt;=0,0,""),"")</f>
        <v/>
      </c>
      <c r="T259" s="253"/>
      <c r="U259" s="278">
        <v>0</v>
      </c>
      <c r="V259" s="278">
        <v>0</v>
      </c>
      <c r="W259" s="278">
        <v>0</v>
      </c>
      <c r="X259" s="278">
        <v>0</v>
      </c>
      <c r="Y259" s="278">
        <v>0</v>
      </c>
      <c r="Z259" s="278">
        <v>0</v>
      </c>
      <c r="AA259" s="249"/>
      <c r="AB259" s="249"/>
      <c r="AC259" s="249"/>
      <c r="AD259" s="249"/>
      <c r="AE259" s="249"/>
      <c r="AF259" s="249"/>
      <c r="AG259" s="249"/>
      <c r="AH259" s="249"/>
      <c r="AI259" s="249"/>
      <c r="AJ259" s="249"/>
      <c r="AK259" s="249"/>
      <c r="AL259" s="249"/>
      <c r="AM259" s="249"/>
      <c r="AN259" s="249"/>
      <c r="AO259" s="249"/>
    </row>
    <row r="260" spans="13:41" x14ac:dyDescent="0.35">
      <c r="M260" s="277">
        <v>756</v>
      </c>
      <c r="N260" s="251" t="str">
        <f t="shared" ref="N260:N295" si="36">IF($R$11&lt;=M260,IF($R$11&gt;=M259+0.01,U260,""),"")</f>
        <v/>
      </c>
      <c r="O260" s="251" t="str">
        <f t="shared" ref="O260:O295" si="37">IF($R$11&lt;=M260,IF($R$11&gt;=M259+0.01,V260,""),"")</f>
        <v/>
      </c>
      <c r="P260" s="251" t="str">
        <f t="shared" ref="P260:P295" si="38">IF($R$11&lt;=M260,IF($R$11&gt;=M259+0.01,W260,""),"")</f>
        <v/>
      </c>
      <c r="Q260" s="251" t="str">
        <f t="shared" ref="Q260:Q295" si="39">IF($R$11&lt;=M260,IF($R$11&gt;=M259+0.01,X260,""),"")</f>
        <v/>
      </c>
      <c r="R260" s="251" t="str">
        <f t="shared" ref="R260:R295" si="40">IF($R$11&lt;=M260,IF($R$11&gt;=M259+0.01,Y260,""),"")</f>
        <v/>
      </c>
      <c r="S260" s="252" t="str">
        <f t="shared" ref="S260:S295" si="41">IF($R$11&lt;=M260,IF($R$11&gt;=M259+0.01,Z260,""),"")</f>
        <v/>
      </c>
      <c r="T260" s="253"/>
      <c r="U260" s="278">
        <v>1.2999999999999999E-2</v>
      </c>
      <c r="V260" s="278">
        <v>8.0000000000000002E-3</v>
      </c>
      <c r="W260" s="278">
        <v>0</v>
      </c>
      <c r="X260" s="278">
        <v>0</v>
      </c>
      <c r="Y260" s="278">
        <v>0</v>
      </c>
      <c r="Z260" s="278">
        <v>0</v>
      </c>
      <c r="AA260" s="249"/>
      <c r="AB260" s="279"/>
      <c r="AC260" s="279"/>
      <c r="AD260" s="279"/>
      <c r="AE260" s="279"/>
      <c r="AF260" s="279"/>
      <c r="AG260" s="279"/>
      <c r="AH260" s="249"/>
      <c r="AI260" s="249"/>
      <c r="AJ260" s="249"/>
      <c r="AK260" s="249"/>
      <c r="AL260" s="249"/>
      <c r="AM260" s="249"/>
      <c r="AN260" s="249"/>
      <c r="AO260" s="249"/>
    </row>
    <row r="261" spans="13:41" x14ac:dyDescent="0.35">
      <c r="M261" s="277">
        <v>777</v>
      </c>
      <c r="N261" s="251" t="str">
        <f t="shared" si="36"/>
        <v/>
      </c>
      <c r="O261" s="251" t="str">
        <f t="shared" si="37"/>
        <v/>
      </c>
      <c r="P261" s="251" t="str">
        <f t="shared" si="38"/>
        <v/>
      </c>
      <c r="Q261" s="251" t="str">
        <f t="shared" si="39"/>
        <v/>
      </c>
      <c r="R261" s="251" t="str">
        <f t="shared" si="40"/>
        <v/>
      </c>
      <c r="S261" s="252" t="str">
        <f t="shared" si="41"/>
        <v/>
      </c>
      <c r="T261" s="253"/>
      <c r="U261" s="278">
        <v>3.2000000000000001E-2</v>
      </c>
      <c r="V261" s="278">
        <v>2.4E-2</v>
      </c>
      <c r="W261" s="278">
        <v>4.0000000000000001E-3</v>
      </c>
      <c r="X261" s="278">
        <v>0</v>
      </c>
      <c r="Y261" s="278">
        <v>0</v>
      </c>
      <c r="Z261" s="278">
        <v>0</v>
      </c>
      <c r="AA261" s="249"/>
      <c r="AB261" s="279"/>
      <c r="AC261" s="279"/>
      <c r="AD261" s="279"/>
      <c r="AE261" s="279"/>
      <c r="AF261" s="279"/>
      <c r="AG261" s="279"/>
      <c r="AH261" s="249"/>
      <c r="AI261" s="249"/>
      <c r="AJ261" s="249"/>
      <c r="AK261" s="249"/>
      <c r="AL261" s="249"/>
      <c r="AM261" s="249"/>
      <c r="AN261" s="249"/>
      <c r="AO261" s="249"/>
    </row>
    <row r="262" spans="13:41" x14ac:dyDescent="0.35">
      <c r="M262" s="277">
        <v>792</v>
      </c>
      <c r="N262" s="251" t="str">
        <f t="shared" si="36"/>
        <v/>
      </c>
      <c r="O262" s="251" t="str">
        <f t="shared" si="37"/>
        <v/>
      </c>
      <c r="P262" s="251" t="str">
        <f t="shared" si="38"/>
        <v/>
      </c>
      <c r="Q262" s="251" t="str">
        <f t="shared" si="39"/>
        <v/>
      </c>
      <c r="R262" s="251" t="str">
        <f t="shared" si="40"/>
        <v/>
      </c>
      <c r="S262" s="252" t="str">
        <f t="shared" si="41"/>
        <v/>
      </c>
      <c r="T262" s="253"/>
      <c r="U262" s="278">
        <v>4.3999999999999997E-2</v>
      </c>
      <c r="V262" s="278">
        <v>2.5999999999999999E-2</v>
      </c>
      <c r="W262" s="278">
        <v>7.0000000000000001E-3</v>
      </c>
      <c r="X262" s="278">
        <v>0</v>
      </c>
      <c r="Y262" s="278">
        <v>0</v>
      </c>
      <c r="Z262" s="278">
        <v>0</v>
      </c>
      <c r="AA262" s="249"/>
      <c r="AB262" s="279"/>
      <c r="AC262" s="279"/>
      <c r="AD262" s="279"/>
      <c r="AE262" s="279"/>
      <c r="AF262" s="279"/>
      <c r="AG262" s="279"/>
      <c r="AH262" s="249"/>
      <c r="AI262" s="249"/>
      <c r="AJ262" s="249"/>
      <c r="AK262" s="249"/>
      <c r="AL262" s="249"/>
      <c r="AM262" s="249"/>
      <c r="AN262" s="249"/>
      <c r="AO262" s="249"/>
    </row>
    <row r="263" spans="13:41" x14ac:dyDescent="0.35">
      <c r="M263" s="277">
        <v>855</v>
      </c>
      <c r="N263" s="251" t="str">
        <f t="shared" si="36"/>
        <v/>
      </c>
      <c r="O263" s="251" t="str">
        <f t="shared" si="37"/>
        <v/>
      </c>
      <c r="P263" s="251" t="str">
        <f t="shared" si="38"/>
        <v/>
      </c>
      <c r="Q263" s="251" t="str">
        <f t="shared" si="39"/>
        <v/>
      </c>
      <c r="R263" s="251" t="str">
        <f t="shared" si="40"/>
        <v/>
      </c>
      <c r="S263" s="252" t="str">
        <f t="shared" si="41"/>
        <v/>
      </c>
      <c r="T263" s="253"/>
      <c r="U263" s="278">
        <v>5.5E-2</v>
      </c>
      <c r="V263" s="278">
        <v>3.4999999999999996E-2</v>
      </c>
      <c r="W263" s="278">
        <v>2.1999999999999999E-2</v>
      </c>
      <c r="X263" s="278">
        <v>1.5999999999999997E-2</v>
      </c>
      <c r="Y263" s="278">
        <v>3.0000000000000001E-3</v>
      </c>
      <c r="Z263" s="278">
        <v>0</v>
      </c>
      <c r="AA263" s="249"/>
      <c r="AB263" s="279"/>
      <c r="AC263" s="279"/>
      <c r="AD263" s="279"/>
      <c r="AE263" s="279"/>
      <c r="AF263" s="279"/>
      <c r="AG263" s="279"/>
      <c r="AH263" s="249"/>
      <c r="AI263" s="249"/>
      <c r="AJ263" s="249"/>
      <c r="AK263" s="249"/>
      <c r="AL263" s="249"/>
      <c r="AM263" s="249"/>
      <c r="AN263" s="249"/>
      <c r="AO263" s="249"/>
    </row>
    <row r="264" spans="13:41" x14ac:dyDescent="0.35">
      <c r="M264" s="277">
        <v>931</v>
      </c>
      <c r="N264" s="251" t="str">
        <f t="shared" si="36"/>
        <v/>
      </c>
      <c r="O264" s="251" t="str">
        <f t="shared" si="37"/>
        <v/>
      </c>
      <c r="P264" s="251" t="str">
        <f t="shared" si="38"/>
        <v/>
      </c>
      <c r="Q264" s="251" t="str">
        <f t="shared" si="39"/>
        <v/>
      </c>
      <c r="R264" s="251" t="str">
        <f t="shared" si="40"/>
        <v/>
      </c>
      <c r="S264" s="252" t="str">
        <f t="shared" si="41"/>
        <v/>
      </c>
      <c r="T264" s="253"/>
      <c r="U264" s="278">
        <v>6.9999999999999993E-2</v>
      </c>
      <c r="V264" s="278">
        <v>5.0999999999999997E-2</v>
      </c>
      <c r="W264" s="278">
        <v>4.3999999999999997E-2</v>
      </c>
      <c r="X264" s="278">
        <v>2.5999999999999999E-2</v>
      </c>
      <c r="Y264" s="278">
        <v>1.9999999999999997E-2</v>
      </c>
      <c r="Z264" s="278">
        <v>7.0000000000000001E-3</v>
      </c>
      <c r="AA264" s="249"/>
      <c r="AB264" s="279"/>
      <c r="AC264" s="279"/>
      <c r="AD264" s="279"/>
      <c r="AE264" s="279"/>
      <c r="AF264" s="279"/>
      <c r="AG264" s="279"/>
      <c r="AH264" s="249"/>
      <c r="AI264" s="249"/>
      <c r="AJ264" s="249"/>
      <c r="AK264" s="249"/>
      <c r="AL264" s="249"/>
      <c r="AM264" s="249"/>
      <c r="AN264" s="249"/>
      <c r="AO264" s="249"/>
    </row>
    <row r="265" spans="13:41" x14ac:dyDescent="0.35">
      <c r="M265" s="277">
        <v>1015</v>
      </c>
      <c r="N265" s="251" t="str">
        <f t="shared" si="36"/>
        <v/>
      </c>
      <c r="O265" s="251" t="str">
        <f t="shared" si="37"/>
        <v/>
      </c>
      <c r="P265" s="251" t="str">
        <f t="shared" si="38"/>
        <v/>
      </c>
      <c r="Q265" s="251" t="str">
        <f t="shared" si="39"/>
        <v/>
      </c>
      <c r="R265" s="251" t="str">
        <f t="shared" si="40"/>
        <v/>
      </c>
      <c r="S265" s="252" t="str">
        <f t="shared" si="41"/>
        <v/>
      </c>
      <c r="T265" s="253"/>
      <c r="U265" s="278">
        <v>7.9000000000000001E-2</v>
      </c>
      <c r="V265" s="278">
        <v>0.06</v>
      </c>
      <c r="W265" s="278">
        <v>5.3999999999999999E-2</v>
      </c>
      <c r="X265" s="278">
        <v>3.4999999999999996E-2</v>
      </c>
      <c r="Y265" s="278">
        <v>0.03</v>
      </c>
      <c r="Z265" s="278">
        <v>1.9999999999999997E-2</v>
      </c>
      <c r="AA265" s="249"/>
      <c r="AB265" s="279"/>
      <c r="AC265" s="279"/>
      <c r="AD265" s="279"/>
      <c r="AE265" s="279"/>
      <c r="AF265" s="279"/>
      <c r="AG265" s="279"/>
      <c r="AH265" s="249"/>
      <c r="AI265" s="249"/>
      <c r="AJ265" s="249"/>
      <c r="AK265" s="249"/>
      <c r="AL265" s="249"/>
      <c r="AM265" s="249"/>
      <c r="AN265" s="249"/>
      <c r="AO265" s="249"/>
    </row>
    <row r="266" spans="13:41" x14ac:dyDescent="0.35">
      <c r="M266" s="277">
        <v>1075</v>
      </c>
      <c r="N266" s="251" t="str">
        <f t="shared" si="36"/>
        <v/>
      </c>
      <c r="O266" s="251" t="str">
        <f t="shared" si="37"/>
        <v/>
      </c>
      <c r="P266" s="251" t="str">
        <f t="shared" si="38"/>
        <v/>
      </c>
      <c r="Q266" s="251" t="str">
        <f t="shared" si="39"/>
        <v/>
      </c>
      <c r="R266" s="251" t="str">
        <f t="shared" si="40"/>
        <v/>
      </c>
      <c r="S266" s="252" t="str">
        <f t="shared" si="41"/>
        <v/>
      </c>
      <c r="T266" s="253"/>
      <c r="U266" s="278">
        <v>8.5000000000000006E-2</v>
      </c>
      <c r="V266" s="278">
        <v>6.7000000000000004E-2</v>
      </c>
      <c r="W266" s="278">
        <v>0.06</v>
      </c>
      <c r="X266" s="278">
        <v>4.2000000000000003E-2</v>
      </c>
      <c r="Y266" s="278">
        <v>3.3999999999999996E-2</v>
      </c>
      <c r="Z266" s="278">
        <v>2.7E-2</v>
      </c>
      <c r="AA266" s="249"/>
      <c r="AB266" s="279"/>
      <c r="AC266" s="279"/>
      <c r="AD266" s="279"/>
      <c r="AE266" s="279"/>
      <c r="AF266" s="279"/>
      <c r="AG266" s="279"/>
      <c r="AH266" s="249"/>
      <c r="AI266" s="249"/>
      <c r="AJ266" s="249"/>
      <c r="AK266" s="249"/>
      <c r="AL266" s="249"/>
      <c r="AM266" s="249"/>
      <c r="AN266" s="249"/>
      <c r="AO266" s="249"/>
    </row>
    <row r="267" spans="13:41" x14ac:dyDescent="0.35">
      <c r="M267" s="277">
        <v>1154</v>
      </c>
      <c r="N267" s="251" t="str">
        <f t="shared" si="36"/>
        <v/>
      </c>
      <c r="O267" s="251" t="str">
        <f t="shared" si="37"/>
        <v/>
      </c>
      <c r="P267" s="251" t="str">
        <f t="shared" si="38"/>
        <v/>
      </c>
      <c r="Q267" s="251" t="str">
        <f t="shared" si="39"/>
        <v/>
      </c>
      <c r="R267" s="251" t="str">
        <f t="shared" si="40"/>
        <v/>
      </c>
      <c r="S267" s="252" t="str">
        <f t="shared" si="41"/>
        <v/>
      </c>
      <c r="T267" s="253"/>
      <c r="U267" s="278">
        <v>9.1999999999999998E-2</v>
      </c>
      <c r="V267" s="278">
        <v>0.08</v>
      </c>
      <c r="W267" s="278">
        <v>7.3999999999999996E-2</v>
      </c>
      <c r="X267" s="278">
        <v>5.5E-2</v>
      </c>
      <c r="Y267" s="278">
        <v>0.05</v>
      </c>
      <c r="Z267" s="278">
        <v>3.6999999999999998E-2</v>
      </c>
      <c r="AA267" s="249"/>
      <c r="AB267" s="279"/>
      <c r="AC267" s="279"/>
      <c r="AD267" s="279"/>
      <c r="AE267" s="279"/>
      <c r="AF267" s="279"/>
      <c r="AG267" s="279"/>
      <c r="AH267" s="249"/>
      <c r="AI267" s="249"/>
      <c r="AJ267" s="249"/>
      <c r="AK267" s="249"/>
      <c r="AL267" s="249"/>
      <c r="AM267" s="249"/>
      <c r="AN267" s="249"/>
      <c r="AO267" s="249"/>
    </row>
    <row r="268" spans="13:41" x14ac:dyDescent="0.35">
      <c r="M268" s="277">
        <v>1237</v>
      </c>
      <c r="N268" s="251" t="str">
        <f t="shared" si="36"/>
        <v/>
      </c>
      <c r="O268" s="251" t="str">
        <f t="shared" si="37"/>
        <v/>
      </c>
      <c r="P268" s="251" t="str">
        <f t="shared" si="38"/>
        <v/>
      </c>
      <c r="Q268" s="251" t="str">
        <f t="shared" si="39"/>
        <v/>
      </c>
      <c r="R268" s="251" t="str">
        <f t="shared" si="40"/>
        <v/>
      </c>
      <c r="S268" s="252" t="str">
        <f t="shared" si="41"/>
        <v/>
      </c>
      <c r="T268" s="253"/>
      <c r="U268" s="278">
        <v>9.9000000000000005E-2</v>
      </c>
      <c r="V268" s="278">
        <v>8.6999999999999994E-2</v>
      </c>
      <c r="W268" s="278">
        <v>8.1000000000000003E-2</v>
      </c>
      <c r="X268" s="278">
        <v>6.2E-2</v>
      </c>
      <c r="Y268" s="278">
        <v>5.6000000000000001E-2</v>
      </c>
      <c r="Z268" s="278">
        <v>4.3999999999999997E-2</v>
      </c>
      <c r="AA268" s="249"/>
      <c r="AB268" s="279"/>
      <c r="AC268" s="279"/>
      <c r="AD268" s="279"/>
      <c r="AE268" s="279"/>
      <c r="AF268" s="279"/>
      <c r="AG268" s="279"/>
      <c r="AH268" s="249"/>
      <c r="AI268" s="249"/>
      <c r="AJ268" s="249"/>
      <c r="AK268" s="249"/>
      <c r="AL268" s="249"/>
      <c r="AM268" s="249"/>
      <c r="AN268" s="249"/>
      <c r="AO268" s="249"/>
    </row>
    <row r="269" spans="13:41" x14ac:dyDescent="0.35">
      <c r="M269" s="277">
        <v>1333</v>
      </c>
      <c r="N269" s="251" t="str">
        <f t="shared" si="36"/>
        <v/>
      </c>
      <c r="O269" s="251" t="str">
        <f t="shared" si="37"/>
        <v/>
      </c>
      <c r="P269" s="251" t="str">
        <f t="shared" si="38"/>
        <v/>
      </c>
      <c r="Q269" s="251" t="str">
        <f t="shared" si="39"/>
        <v/>
      </c>
      <c r="R269" s="251" t="str">
        <f t="shared" si="40"/>
        <v/>
      </c>
      <c r="S269" s="252" t="str">
        <f t="shared" si="41"/>
        <v/>
      </c>
      <c r="T269" s="253"/>
      <c r="U269" s="278">
        <v>0.106</v>
      </c>
      <c r="V269" s="278">
        <v>0.10100000000000001</v>
      </c>
      <c r="W269" s="278">
        <v>8.7999999999999995E-2</v>
      </c>
      <c r="X269" s="278">
        <v>7.4999999999999997E-2</v>
      </c>
      <c r="Y269" s="278">
        <v>6.3E-2</v>
      </c>
      <c r="Z269" s="278">
        <v>5.7000000000000002E-2</v>
      </c>
      <c r="AA269" s="249"/>
      <c r="AB269" s="279"/>
      <c r="AC269" s="279"/>
      <c r="AD269" s="279"/>
      <c r="AE269" s="279"/>
      <c r="AF269" s="279"/>
      <c r="AG269" s="279"/>
      <c r="AH269" s="249"/>
      <c r="AI269" s="249"/>
      <c r="AJ269" s="249"/>
      <c r="AK269" s="249"/>
      <c r="AL269" s="249"/>
      <c r="AM269" s="249"/>
      <c r="AN269" s="249"/>
      <c r="AO269" s="249"/>
    </row>
    <row r="270" spans="13:41" x14ac:dyDescent="0.35">
      <c r="M270" s="277">
        <v>1437</v>
      </c>
      <c r="N270" s="251" t="str">
        <f t="shared" si="36"/>
        <v/>
      </c>
      <c r="O270" s="251" t="str">
        <f t="shared" si="37"/>
        <v/>
      </c>
      <c r="P270" s="251" t="str">
        <f t="shared" si="38"/>
        <v/>
      </c>
      <c r="Q270" s="251" t="str">
        <f t="shared" si="39"/>
        <v/>
      </c>
      <c r="R270" s="251" t="str">
        <f t="shared" si="40"/>
        <v/>
      </c>
      <c r="S270" s="252" t="str">
        <f t="shared" si="41"/>
        <v/>
      </c>
      <c r="T270" s="253"/>
      <c r="U270" s="278">
        <v>0.113</v>
      </c>
      <c r="V270" s="278">
        <v>0.107</v>
      </c>
      <c r="W270" s="278">
        <v>9.5000000000000001E-2</v>
      </c>
      <c r="X270" s="278">
        <v>8.3000000000000004E-2</v>
      </c>
      <c r="Y270" s="278">
        <v>7.0000000000000007E-2</v>
      </c>
      <c r="Z270" s="278">
        <v>6.4000000000000001E-2</v>
      </c>
      <c r="AA270" s="249"/>
      <c r="AB270" s="279"/>
      <c r="AC270" s="279"/>
      <c r="AD270" s="279"/>
      <c r="AE270" s="279"/>
      <c r="AF270" s="279"/>
      <c r="AG270" s="279"/>
      <c r="AH270" s="249"/>
      <c r="AI270" s="249"/>
      <c r="AJ270" s="249"/>
      <c r="AK270" s="249"/>
      <c r="AL270" s="249"/>
      <c r="AM270" s="249"/>
      <c r="AN270" s="249"/>
      <c r="AO270" s="249"/>
    </row>
    <row r="271" spans="13:41" x14ac:dyDescent="0.35">
      <c r="M271" s="277">
        <v>1577</v>
      </c>
      <c r="N271" s="251" t="str">
        <f t="shared" si="36"/>
        <v/>
      </c>
      <c r="O271" s="251" t="str">
        <f t="shared" si="37"/>
        <v/>
      </c>
      <c r="P271" s="251" t="str">
        <f t="shared" si="38"/>
        <v/>
      </c>
      <c r="Q271" s="251" t="str">
        <f t="shared" si="39"/>
        <v/>
      </c>
      <c r="R271" s="251" t="str">
        <f t="shared" si="40"/>
        <v/>
      </c>
      <c r="S271" s="252" t="str">
        <f t="shared" si="41"/>
        <v/>
      </c>
      <c r="T271" s="253"/>
      <c r="U271" s="278">
        <v>0.12</v>
      </c>
      <c r="V271" s="278">
        <v>0.115</v>
      </c>
      <c r="W271" s="278">
        <v>0.10199999999999999</v>
      </c>
      <c r="X271" s="278">
        <v>0.09</v>
      </c>
      <c r="Y271" s="278">
        <v>7.8E-2</v>
      </c>
      <c r="Z271" s="278">
        <v>7.0999999999999994E-2</v>
      </c>
      <c r="AA271" s="249"/>
      <c r="AB271" s="279"/>
      <c r="AC271" s="279"/>
      <c r="AD271" s="279"/>
      <c r="AE271" s="279"/>
      <c r="AF271" s="279"/>
      <c r="AG271" s="279"/>
      <c r="AH271" s="249"/>
      <c r="AI271" s="249"/>
      <c r="AJ271" s="249"/>
      <c r="AK271" s="249"/>
      <c r="AL271" s="249"/>
      <c r="AM271" s="249"/>
      <c r="AN271" s="249"/>
      <c r="AO271" s="249"/>
    </row>
    <row r="272" spans="13:41" x14ac:dyDescent="0.35">
      <c r="M272" s="277">
        <v>1727</v>
      </c>
      <c r="N272" s="251">
        <f t="shared" si="36"/>
        <v>0.13</v>
      </c>
      <c r="O272" s="251">
        <f t="shared" si="37"/>
        <v>0.124</v>
      </c>
      <c r="P272" s="251">
        <f t="shared" si="38"/>
        <v>0.113</v>
      </c>
      <c r="Q272" s="251">
        <f t="shared" si="39"/>
        <v>0.1</v>
      </c>
      <c r="R272" s="251">
        <f t="shared" si="40"/>
        <v>9.4E-2</v>
      </c>
      <c r="S272" s="252">
        <f t="shared" si="41"/>
        <v>8.2000000000000003E-2</v>
      </c>
      <c r="T272" s="253"/>
      <c r="U272" s="278">
        <v>0.13</v>
      </c>
      <c r="V272" s="278">
        <v>0.124</v>
      </c>
      <c r="W272" s="278">
        <v>0.113</v>
      </c>
      <c r="X272" s="278">
        <v>0.1</v>
      </c>
      <c r="Y272" s="278">
        <v>9.4E-2</v>
      </c>
      <c r="Z272" s="278">
        <v>8.2000000000000003E-2</v>
      </c>
      <c r="AA272" s="249"/>
      <c r="AB272" s="279"/>
      <c r="AC272" s="279"/>
      <c r="AD272" s="279"/>
      <c r="AE272" s="279"/>
      <c r="AF272" s="279"/>
      <c r="AG272" s="279"/>
      <c r="AH272" s="249"/>
      <c r="AI272" s="249"/>
      <c r="AJ272" s="249"/>
      <c r="AK272" s="249"/>
      <c r="AL272" s="249"/>
      <c r="AM272" s="249"/>
      <c r="AN272" s="249"/>
      <c r="AO272" s="249"/>
    </row>
    <row r="273" spans="13:41" x14ac:dyDescent="0.35">
      <c r="M273" s="277">
        <v>1887</v>
      </c>
      <c r="N273" s="251" t="str">
        <f t="shared" si="36"/>
        <v/>
      </c>
      <c r="O273" s="251" t="str">
        <f t="shared" si="37"/>
        <v/>
      </c>
      <c r="P273" s="251" t="str">
        <f t="shared" si="38"/>
        <v/>
      </c>
      <c r="Q273" s="251" t="str">
        <f t="shared" si="39"/>
        <v/>
      </c>
      <c r="R273" s="251" t="str">
        <f t="shared" si="40"/>
        <v/>
      </c>
      <c r="S273" s="252" t="str">
        <f t="shared" si="41"/>
        <v/>
      </c>
      <c r="T273" s="253"/>
      <c r="U273" s="278">
        <v>0.13900000000000001</v>
      </c>
      <c r="V273" s="278">
        <v>0.13500000000000001</v>
      </c>
      <c r="W273" s="278">
        <v>0.123</v>
      </c>
      <c r="X273" s="278">
        <v>0.112</v>
      </c>
      <c r="Y273" s="278">
        <v>0.106</v>
      </c>
      <c r="Z273" s="278">
        <v>9.5000000000000001E-2</v>
      </c>
      <c r="AA273" s="249"/>
      <c r="AB273" s="279"/>
      <c r="AC273" s="279"/>
      <c r="AD273" s="279"/>
      <c r="AE273" s="279"/>
      <c r="AF273" s="279"/>
      <c r="AG273" s="279"/>
      <c r="AH273" s="249"/>
      <c r="AI273" s="249"/>
      <c r="AJ273" s="249"/>
      <c r="AK273" s="249"/>
      <c r="AL273" s="249"/>
      <c r="AM273" s="249"/>
      <c r="AN273" s="249"/>
      <c r="AO273" s="249"/>
    </row>
    <row r="274" spans="13:41" x14ac:dyDescent="0.35">
      <c r="M274" s="277">
        <v>1995</v>
      </c>
      <c r="N274" s="251" t="str">
        <f t="shared" si="36"/>
        <v/>
      </c>
      <c r="O274" s="251" t="str">
        <f t="shared" si="37"/>
        <v/>
      </c>
      <c r="P274" s="251" t="str">
        <f t="shared" si="38"/>
        <v/>
      </c>
      <c r="Q274" s="251" t="str">
        <f t="shared" si="39"/>
        <v/>
      </c>
      <c r="R274" s="251" t="str">
        <f t="shared" si="40"/>
        <v/>
      </c>
      <c r="S274" s="252" t="str">
        <f t="shared" si="41"/>
        <v/>
      </c>
      <c r="T274" s="253"/>
      <c r="U274" s="278">
        <v>0.14599999999999999</v>
      </c>
      <c r="V274" s="278">
        <v>0.14299999999999999</v>
      </c>
      <c r="W274" s="278">
        <v>0.13</v>
      </c>
      <c r="X274" s="278">
        <v>0.11799999999999999</v>
      </c>
      <c r="Y274" s="278">
        <v>0.113</v>
      </c>
      <c r="Z274" s="278">
        <v>0.10199999999999999</v>
      </c>
      <c r="AA274" s="249"/>
      <c r="AB274" s="279"/>
      <c r="AC274" s="279"/>
      <c r="AD274" s="279"/>
      <c r="AE274" s="279"/>
      <c r="AF274" s="279"/>
      <c r="AG274" s="279"/>
      <c r="AH274" s="249"/>
      <c r="AI274" s="249"/>
      <c r="AJ274" s="249"/>
      <c r="AK274" s="249"/>
      <c r="AL274" s="249"/>
      <c r="AM274" s="249"/>
      <c r="AN274" s="249"/>
      <c r="AO274" s="249"/>
    </row>
    <row r="275" spans="13:41" x14ac:dyDescent="0.35">
      <c r="M275" s="277">
        <v>2109</v>
      </c>
      <c r="N275" s="251" t="str">
        <f t="shared" si="36"/>
        <v/>
      </c>
      <c r="O275" s="251" t="str">
        <f t="shared" si="37"/>
        <v/>
      </c>
      <c r="P275" s="251" t="str">
        <f t="shared" si="38"/>
        <v/>
      </c>
      <c r="Q275" s="251" t="str">
        <f t="shared" si="39"/>
        <v/>
      </c>
      <c r="R275" s="251" t="str">
        <f t="shared" si="40"/>
        <v/>
      </c>
      <c r="S275" s="252" t="str">
        <f t="shared" si="41"/>
        <v/>
      </c>
      <c r="T275" s="253"/>
      <c r="U275" s="278">
        <v>0.153</v>
      </c>
      <c r="V275" s="278">
        <v>0.15</v>
      </c>
      <c r="W275" s="278">
        <v>0.13700000000000001</v>
      </c>
      <c r="X275" s="278">
        <v>0.124</v>
      </c>
      <c r="Y275" s="278">
        <v>0.11899999999999999</v>
      </c>
      <c r="Z275" s="278">
        <v>0.114</v>
      </c>
      <c r="AA275" s="249"/>
      <c r="AB275" s="279"/>
      <c r="AC275" s="279"/>
      <c r="AD275" s="279"/>
      <c r="AE275" s="279"/>
      <c r="AF275" s="279"/>
      <c r="AG275" s="279"/>
      <c r="AH275" s="249"/>
      <c r="AI275" s="249"/>
      <c r="AJ275" s="249"/>
      <c r="AK275" s="249"/>
      <c r="AL275" s="249"/>
      <c r="AM275" s="249"/>
      <c r="AN275" s="249"/>
      <c r="AO275" s="249"/>
    </row>
    <row r="276" spans="13:41" x14ac:dyDescent="0.35">
      <c r="M276" s="277">
        <v>2238</v>
      </c>
      <c r="N276" s="251" t="str">
        <f t="shared" si="36"/>
        <v/>
      </c>
      <c r="O276" s="251" t="str">
        <f t="shared" si="37"/>
        <v/>
      </c>
      <c r="P276" s="251" t="str">
        <f t="shared" si="38"/>
        <v/>
      </c>
      <c r="Q276" s="251" t="str">
        <f t="shared" si="39"/>
        <v/>
      </c>
      <c r="R276" s="251" t="str">
        <f t="shared" si="40"/>
        <v/>
      </c>
      <c r="S276" s="252" t="str">
        <f t="shared" si="41"/>
        <v/>
      </c>
      <c r="T276" s="253"/>
      <c r="U276" s="278">
        <v>0.16</v>
      </c>
      <c r="V276" s="278">
        <v>0.156</v>
      </c>
      <c r="W276" s="278">
        <v>0.14499999999999999</v>
      </c>
      <c r="X276" s="278">
        <v>0.13200000000000001</v>
      </c>
      <c r="Y276" s="278">
        <v>0.125</v>
      </c>
      <c r="Z276" s="278">
        <v>0.121</v>
      </c>
      <c r="AA276" s="249"/>
      <c r="AB276" s="279"/>
      <c r="AC276" s="279"/>
      <c r="AD276" s="279"/>
      <c r="AE276" s="279"/>
      <c r="AF276" s="279"/>
      <c r="AG276" s="279"/>
      <c r="AH276" s="249"/>
      <c r="AI276" s="249"/>
      <c r="AJ276" s="249"/>
      <c r="AK276" s="249"/>
      <c r="AL276" s="249"/>
      <c r="AM276" s="249"/>
      <c r="AN276" s="249"/>
      <c r="AO276" s="249"/>
    </row>
    <row r="277" spans="13:41" x14ac:dyDescent="0.35">
      <c r="M277" s="277">
        <v>2389</v>
      </c>
      <c r="N277" s="251" t="str">
        <f t="shared" si="36"/>
        <v/>
      </c>
      <c r="O277" s="251" t="str">
        <f t="shared" si="37"/>
        <v/>
      </c>
      <c r="P277" s="251" t="str">
        <f t="shared" si="38"/>
        <v/>
      </c>
      <c r="Q277" s="251" t="str">
        <f t="shared" si="39"/>
        <v/>
      </c>
      <c r="R277" s="251" t="str">
        <f t="shared" si="40"/>
        <v/>
      </c>
      <c r="S277" s="252" t="str">
        <f t="shared" si="41"/>
        <v/>
      </c>
      <c r="T277" s="253"/>
      <c r="U277" s="278">
        <v>0.16700000000000001</v>
      </c>
      <c r="V277" s="278">
        <v>0.16400000000000001</v>
      </c>
      <c r="W277" s="278">
        <v>0.158</v>
      </c>
      <c r="X277" s="278">
        <v>0.13900000000000001</v>
      </c>
      <c r="Y277" s="278">
        <v>0.13400000000000001</v>
      </c>
      <c r="Z277" s="278">
        <v>0.127</v>
      </c>
      <c r="AA277" s="249"/>
      <c r="AB277" s="279"/>
      <c r="AC277" s="279"/>
      <c r="AD277" s="279"/>
      <c r="AE277" s="279"/>
      <c r="AF277" s="279"/>
      <c r="AG277" s="279"/>
      <c r="AH277" s="249"/>
      <c r="AI277" s="249"/>
      <c r="AJ277" s="249"/>
      <c r="AK277" s="249"/>
      <c r="AL277" s="249"/>
      <c r="AM277" s="249"/>
      <c r="AN277" s="249"/>
      <c r="AO277" s="249"/>
    </row>
    <row r="278" spans="13:41" x14ac:dyDescent="0.35">
      <c r="M278" s="277">
        <v>2558</v>
      </c>
      <c r="N278" s="251" t="str">
        <f t="shared" si="36"/>
        <v/>
      </c>
      <c r="O278" s="251" t="str">
        <f t="shared" si="37"/>
        <v/>
      </c>
      <c r="P278" s="251" t="str">
        <f t="shared" si="38"/>
        <v/>
      </c>
      <c r="Q278" s="251" t="str">
        <f t="shared" si="39"/>
        <v/>
      </c>
      <c r="R278" s="251" t="str">
        <f t="shared" si="40"/>
        <v/>
      </c>
      <c r="S278" s="252" t="str">
        <f t="shared" si="41"/>
        <v/>
      </c>
      <c r="T278" s="253"/>
      <c r="U278" s="278">
        <v>0.17399999999999999</v>
      </c>
      <c r="V278" s="278">
        <v>0.17100000000000001</v>
      </c>
      <c r="W278" s="278">
        <v>0.16500000000000001</v>
      </c>
      <c r="X278" s="278">
        <v>0.14699999999999999</v>
      </c>
      <c r="Y278" s="278">
        <v>0.14099999999999999</v>
      </c>
      <c r="Z278" s="278">
        <v>0.13600000000000001</v>
      </c>
      <c r="AA278" s="249"/>
      <c r="AB278" s="279"/>
      <c r="AC278" s="279"/>
      <c r="AD278" s="279"/>
      <c r="AE278" s="279"/>
      <c r="AF278" s="279"/>
      <c r="AG278" s="279"/>
      <c r="AH278" s="249"/>
      <c r="AI278" s="249"/>
      <c r="AJ278" s="249"/>
      <c r="AK278" s="249"/>
      <c r="AL278" s="249"/>
      <c r="AM278" s="249"/>
      <c r="AN278" s="249"/>
      <c r="AO278" s="249"/>
    </row>
    <row r="279" spans="13:41" x14ac:dyDescent="0.35">
      <c r="M279" s="277">
        <v>2792</v>
      </c>
      <c r="N279" s="251" t="str">
        <f t="shared" si="36"/>
        <v/>
      </c>
      <c r="O279" s="251" t="str">
        <f t="shared" si="37"/>
        <v/>
      </c>
      <c r="P279" s="251" t="str">
        <f t="shared" si="38"/>
        <v/>
      </c>
      <c r="Q279" s="251" t="str">
        <f t="shared" si="39"/>
        <v/>
      </c>
      <c r="R279" s="251" t="str">
        <f t="shared" si="40"/>
        <v/>
      </c>
      <c r="S279" s="252" t="str">
        <f t="shared" si="41"/>
        <v/>
      </c>
      <c r="T279" s="253"/>
      <c r="U279" s="278">
        <v>0.18</v>
      </c>
      <c r="V279" s="278">
        <v>0.17599999999999999</v>
      </c>
      <c r="W279" s="278">
        <v>0.17199999999999999</v>
      </c>
      <c r="X279" s="278">
        <v>0.153</v>
      </c>
      <c r="Y279" s="278">
        <v>0.14799999999999999</v>
      </c>
      <c r="Z279" s="278">
        <v>0.14299999999999999</v>
      </c>
      <c r="AA279" s="249"/>
      <c r="AB279" s="279"/>
      <c r="AC279" s="279"/>
      <c r="AD279" s="279"/>
      <c r="AE279" s="279"/>
      <c r="AF279" s="279"/>
      <c r="AG279" s="279"/>
      <c r="AH279" s="249"/>
      <c r="AI279" s="249"/>
      <c r="AJ279" s="249"/>
      <c r="AK279" s="249"/>
      <c r="AL279" s="249"/>
      <c r="AM279" s="249"/>
      <c r="AN279" s="249"/>
      <c r="AO279" s="249"/>
    </row>
    <row r="280" spans="13:41" x14ac:dyDescent="0.35">
      <c r="M280" s="277">
        <v>3132</v>
      </c>
      <c r="N280" s="251" t="str">
        <f t="shared" si="36"/>
        <v/>
      </c>
      <c r="O280" s="251" t="str">
        <f t="shared" si="37"/>
        <v/>
      </c>
      <c r="P280" s="251" t="str">
        <f t="shared" si="38"/>
        <v/>
      </c>
      <c r="Q280" s="251" t="str">
        <f t="shared" si="39"/>
        <v/>
      </c>
      <c r="R280" s="251" t="str">
        <f t="shared" si="40"/>
        <v/>
      </c>
      <c r="S280" s="252" t="str">
        <f t="shared" si="41"/>
        <v/>
      </c>
      <c r="T280" s="253"/>
      <c r="U280" s="278">
        <v>0.188</v>
      </c>
      <c r="V280" s="278">
        <v>0.186</v>
      </c>
      <c r="W280" s="278">
        <v>0.18</v>
      </c>
      <c r="X280" s="278">
        <v>0.16200000000000001</v>
      </c>
      <c r="Y280" s="278">
        <v>0.156</v>
      </c>
      <c r="Z280" s="278">
        <v>0.151</v>
      </c>
      <c r="AA280" s="249"/>
      <c r="AB280" s="279"/>
      <c r="AC280" s="279"/>
      <c r="AD280" s="279"/>
      <c r="AE280" s="279"/>
      <c r="AF280" s="279"/>
      <c r="AG280" s="279"/>
      <c r="AH280" s="249"/>
      <c r="AI280" s="249"/>
      <c r="AJ280" s="249"/>
      <c r="AK280" s="249"/>
      <c r="AL280" s="249"/>
      <c r="AM280" s="249"/>
      <c r="AN280" s="249"/>
      <c r="AO280" s="249"/>
    </row>
    <row r="281" spans="13:41" x14ac:dyDescent="0.35">
      <c r="M281" s="277">
        <v>3566</v>
      </c>
      <c r="N281" s="251" t="str">
        <f t="shared" si="36"/>
        <v/>
      </c>
      <c r="O281" s="251" t="str">
        <f t="shared" si="37"/>
        <v/>
      </c>
      <c r="P281" s="251" t="str">
        <f t="shared" si="38"/>
        <v/>
      </c>
      <c r="Q281" s="251" t="str">
        <f t="shared" si="39"/>
        <v/>
      </c>
      <c r="R281" s="251" t="str">
        <f t="shared" si="40"/>
        <v/>
      </c>
      <c r="S281" s="252" t="str">
        <f t="shared" si="41"/>
        <v/>
      </c>
      <c r="T281" s="253"/>
      <c r="U281" s="278">
        <v>0.2</v>
      </c>
      <c r="V281" s="278">
        <v>0.19900000000000001</v>
      </c>
      <c r="W281" s="278">
        <v>0.19600000000000001</v>
      </c>
      <c r="X281" s="278">
        <v>0.18</v>
      </c>
      <c r="Y281" s="278">
        <v>0.17699999999999999</v>
      </c>
      <c r="Z281" s="278">
        <v>0.17399999999999999</v>
      </c>
      <c r="AA281" s="249"/>
      <c r="AB281" s="279"/>
      <c r="AC281" s="279"/>
      <c r="AD281" s="279"/>
      <c r="AE281" s="279"/>
      <c r="AF281" s="279"/>
      <c r="AG281" s="279"/>
      <c r="AH281" s="249"/>
      <c r="AI281" s="249"/>
      <c r="AJ281" s="249"/>
      <c r="AK281" s="249"/>
      <c r="AL281" s="249"/>
      <c r="AM281" s="249"/>
      <c r="AN281" s="249"/>
      <c r="AO281" s="249"/>
    </row>
    <row r="282" spans="13:41" x14ac:dyDescent="0.35">
      <c r="M282" s="277">
        <v>4156</v>
      </c>
      <c r="N282" s="251" t="str">
        <f t="shared" si="36"/>
        <v/>
      </c>
      <c r="O282" s="251" t="str">
        <f t="shared" si="37"/>
        <v/>
      </c>
      <c r="P282" s="251" t="str">
        <f t="shared" si="38"/>
        <v/>
      </c>
      <c r="Q282" s="251" t="str">
        <f t="shared" si="39"/>
        <v/>
      </c>
      <c r="R282" s="251" t="str">
        <f t="shared" si="40"/>
        <v/>
      </c>
      <c r="S282" s="252" t="str">
        <f t="shared" si="41"/>
        <v/>
      </c>
      <c r="T282" s="253"/>
      <c r="U282" s="278">
        <v>0.20699999999999999</v>
      </c>
      <c r="V282" s="278">
        <v>0.20699999999999999</v>
      </c>
      <c r="W282" s="278">
        <v>0.20300000000000001</v>
      </c>
      <c r="X282" s="278">
        <v>0.193</v>
      </c>
      <c r="Y282" s="278">
        <v>0.184</v>
      </c>
      <c r="Z282" s="278">
        <v>0.18099999999999999</v>
      </c>
      <c r="AA282" s="249"/>
      <c r="AB282" s="279"/>
      <c r="AC282" s="279"/>
      <c r="AD282" s="279"/>
      <c r="AE282" s="279"/>
      <c r="AF282" s="279"/>
      <c r="AG282" s="279"/>
      <c r="AH282" s="249"/>
      <c r="AI282" s="249"/>
      <c r="AJ282" s="249"/>
      <c r="AK282" s="249"/>
      <c r="AL282" s="249"/>
      <c r="AM282" s="249"/>
      <c r="AN282" s="249"/>
      <c r="AO282" s="249"/>
    </row>
    <row r="283" spans="13:41" x14ac:dyDescent="0.35">
      <c r="M283" s="277">
        <v>4692</v>
      </c>
      <c r="N283" s="251" t="str">
        <f t="shared" si="36"/>
        <v/>
      </c>
      <c r="O283" s="251" t="str">
        <f t="shared" si="37"/>
        <v/>
      </c>
      <c r="P283" s="251" t="str">
        <f t="shared" si="38"/>
        <v/>
      </c>
      <c r="Q283" s="251" t="str">
        <f t="shared" si="39"/>
        <v/>
      </c>
      <c r="R283" s="251" t="str">
        <f t="shared" si="40"/>
        <v/>
      </c>
      <c r="S283" s="252" t="str">
        <f t="shared" si="41"/>
        <v/>
      </c>
      <c r="T283" s="253"/>
      <c r="U283" s="278">
        <v>0.22</v>
      </c>
      <c r="V283" s="278">
        <v>0.218</v>
      </c>
      <c r="W283" s="278">
        <v>0.215</v>
      </c>
      <c r="X283" s="278">
        <v>0.20300000000000001</v>
      </c>
      <c r="Y283" s="278">
        <v>0.19400000000000001</v>
      </c>
      <c r="Z283" s="278">
        <v>0.191</v>
      </c>
      <c r="AA283" s="249"/>
      <c r="AB283" s="279"/>
      <c r="AC283" s="279"/>
      <c r="AD283" s="279"/>
      <c r="AE283" s="279"/>
      <c r="AF283" s="279"/>
      <c r="AG283" s="279"/>
      <c r="AH283" s="249"/>
      <c r="AI283" s="249"/>
      <c r="AJ283" s="249"/>
      <c r="AK283" s="249"/>
      <c r="AL283" s="249"/>
      <c r="AM283" s="249"/>
      <c r="AN283" s="249"/>
      <c r="AO283" s="249"/>
    </row>
    <row r="284" spans="13:41" x14ac:dyDescent="0.35">
      <c r="M284" s="277">
        <v>5241</v>
      </c>
      <c r="N284" s="251" t="str">
        <f t="shared" si="36"/>
        <v/>
      </c>
      <c r="O284" s="251" t="str">
        <f t="shared" si="37"/>
        <v/>
      </c>
      <c r="P284" s="251" t="str">
        <f t="shared" si="38"/>
        <v/>
      </c>
      <c r="Q284" s="251" t="str">
        <f t="shared" si="39"/>
        <v/>
      </c>
      <c r="R284" s="251" t="str">
        <f t="shared" si="40"/>
        <v/>
      </c>
      <c r="S284" s="252" t="str">
        <f t="shared" si="41"/>
        <v/>
      </c>
      <c r="T284" s="253"/>
      <c r="U284" s="278">
        <v>0.22600000000000001</v>
      </c>
      <c r="V284" s="278">
        <v>0.224</v>
      </c>
      <c r="W284" s="278">
        <v>0.221</v>
      </c>
      <c r="X284" s="278">
        <v>0.21199999999999999</v>
      </c>
      <c r="Y284" s="278">
        <v>0.20699999999999999</v>
      </c>
      <c r="Z284" s="278">
        <v>0.19800000000000001</v>
      </c>
      <c r="AA284" s="249"/>
      <c r="AB284" s="279"/>
      <c r="AC284" s="279"/>
      <c r="AD284" s="279"/>
      <c r="AE284" s="279"/>
      <c r="AF284" s="279"/>
      <c r="AG284" s="279"/>
      <c r="AH284" s="249"/>
      <c r="AI284" s="249"/>
      <c r="AJ284" s="249"/>
      <c r="AK284" s="249"/>
      <c r="AL284" s="249"/>
      <c r="AM284" s="249"/>
      <c r="AN284" s="249"/>
      <c r="AO284" s="249"/>
    </row>
    <row r="285" spans="13:41" x14ac:dyDescent="0.35">
      <c r="M285" s="277">
        <v>5933</v>
      </c>
      <c r="N285" s="251" t="str">
        <f t="shared" si="36"/>
        <v/>
      </c>
      <c r="O285" s="251" t="str">
        <f t="shared" si="37"/>
        <v/>
      </c>
      <c r="P285" s="251" t="str">
        <f t="shared" si="38"/>
        <v/>
      </c>
      <c r="Q285" s="251" t="str">
        <f t="shared" si="39"/>
        <v/>
      </c>
      <c r="R285" s="251" t="str">
        <f t="shared" si="40"/>
        <v/>
      </c>
      <c r="S285" s="252" t="str">
        <f t="shared" si="41"/>
        <v/>
      </c>
      <c r="T285" s="253"/>
      <c r="U285" s="278">
        <v>0.23300000000000001</v>
      </c>
      <c r="V285" s="278">
        <v>0.23100000000000001</v>
      </c>
      <c r="W285" s="278">
        <v>0.22800000000000001</v>
      </c>
      <c r="X285" s="278">
        <v>0.219</v>
      </c>
      <c r="Y285" s="278">
        <v>0.216</v>
      </c>
      <c r="Z285" s="278">
        <v>0.20399999999999999</v>
      </c>
      <c r="AA285" s="249"/>
      <c r="AB285" s="279"/>
      <c r="AC285" s="279"/>
      <c r="AD285" s="279"/>
      <c r="AE285" s="279"/>
      <c r="AF285" s="279"/>
      <c r="AG285" s="279"/>
      <c r="AH285" s="249"/>
      <c r="AI285" s="249"/>
      <c r="AJ285" s="249"/>
      <c r="AK285" s="249"/>
      <c r="AL285" s="249"/>
      <c r="AM285" s="249"/>
      <c r="AN285" s="249"/>
      <c r="AO285" s="249"/>
    </row>
    <row r="286" spans="13:41" x14ac:dyDescent="0.35">
      <c r="M286" s="277">
        <v>6788</v>
      </c>
      <c r="N286" s="251" t="str">
        <f t="shared" si="36"/>
        <v/>
      </c>
      <c r="O286" s="251" t="str">
        <f t="shared" si="37"/>
        <v/>
      </c>
      <c r="P286" s="251" t="str">
        <f t="shared" si="38"/>
        <v/>
      </c>
      <c r="Q286" s="251" t="str">
        <f t="shared" si="39"/>
        <v/>
      </c>
      <c r="R286" s="251" t="str">
        <f t="shared" si="40"/>
        <v/>
      </c>
      <c r="S286" s="252" t="str">
        <f t="shared" si="41"/>
        <v/>
      </c>
      <c r="T286" s="253"/>
      <c r="U286" s="278">
        <v>0.246</v>
      </c>
      <c r="V286" s="278">
        <v>0.245</v>
      </c>
      <c r="W286" s="278">
        <v>0.24199999999999999</v>
      </c>
      <c r="X286" s="278">
        <v>0.23699999999999999</v>
      </c>
      <c r="Y286" s="278">
        <v>0.23499999999999999</v>
      </c>
      <c r="Z286" s="278">
        <v>0.23400000000000001</v>
      </c>
      <c r="AA286" s="249"/>
      <c r="AB286" s="279"/>
      <c r="AC286" s="279"/>
      <c r="AD286" s="279"/>
      <c r="AE286" s="279"/>
      <c r="AF286" s="279"/>
      <c r="AG286" s="279"/>
      <c r="AH286" s="249"/>
      <c r="AI286" s="249"/>
      <c r="AJ286" s="249"/>
      <c r="AK286" s="249"/>
      <c r="AL286" s="249"/>
      <c r="AM286" s="249"/>
      <c r="AN286" s="249"/>
      <c r="AO286" s="249"/>
    </row>
    <row r="287" spans="13:41" x14ac:dyDescent="0.35">
      <c r="M287" s="277">
        <v>8011</v>
      </c>
      <c r="N287" s="251" t="str">
        <f t="shared" si="36"/>
        <v/>
      </c>
      <c r="O287" s="251" t="str">
        <f t="shared" si="37"/>
        <v/>
      </c>
      <c r="P287" s="251" t="str">
        <f t="shared" si="38"/>
        <v/>
      </c>
      <c r="Q287" s="251" t="str">
        <f t="shared" si="39"/>
        <v/>
      </c>
      <c r="R287" s="251" t="str">
        <f t="shared" si="40"/>
        <v/>
      </c>
      <c r="S287" s="252" t="str">
        <f t="shared" si="41"/>
        <v/>
      </c>
      <c r="T287" s="253"/>
      <c r="U287" s="278">
        <v>0.253</v>
      </c>
      <c r="V287" s="278">
        <v>0.252</v>
      </c>
      <c r="W287" s="278">
        <v>0.251</v>
      </c>
      <c r="X287" s="278">
        <v>0.24299999999999999</v>
      </c>
      <c r="Y287" s="278">
        <v>0.24199999999999999</v>
      </c>
      <c r="Z287" s="278">
        <v>0.24099999999999999</v>
      </c>
      <c r="AA287" s="249"/>
      <c r="AB287" s="279"/>
      <c r="AC287" s="279"/>
      <c r="AD287" s="279"/>
      <c r="AE287" s="279"/>
      <c r="AF287" s="279"/>
      <c r="AG287" s="279"/>
      <c r="AH287" s="249"/>
      <c r="AI287" s="249"/>
      <c r="AJ287" s="249"/>
      <c r="AK287" s="249"/>
      <c r="AL287" s="249"/>
      <c r="AM287" s="249"/>
      <c r="AN287" s="249"/>
      <c r="AO287" s="249"/>
    </row>
    <row r="288" spans="13:41" x14ac:dyDescent="0.35">
      <c r="M288" s="277">
        <v>9647</v>
      </c>
      <c r="N288" s="251" t="str">
        <f t="shared" si="36"/>
        <v/>
      </c>
      <c r="O288" s="251" t="str">
        <f t="shared" si="37"/>
        <v/>
      </c>
      <c r="P288" s="251" t="str">
        <f t="shared" si="38"/>
        <v/>
      </c>
      <c r="Q288" s="251" t="str">
        <f t="shared" si="39"/>
        <v/>
      </c>
      <c r="R288" s="251" t="str">
        <f t="shared" si="40"/>
        <v/>
      </c>
      <c r="S288" s="252" t="str">
        <f t="shared" si="41"/>
        <v/>
      </c>
      <c r="T288" s="253"/>
      <c r="U288" s="278">
        <v>0.26700000000000002</v>
      </c>
      <c r="V288" s="278">
        <v>0.26500000000000001</v>
      </c>
      <c r="W288" s="278">
        <v>0.26400000000000001</v>
      </c>
      <c r="X288" s="278">
        <v>0.25600000000000001</v>
      </c>
      <c r="Y288" s="278">
        <v>0.255</v>
      </c>
      <c r="Z288" s="278">
        <v>0.254</v>
      </c>
      <c r="AA288" s="249"/>
      <c r="AB288" s="279"/>
      <c r="AC288" s="279"/>
      <c r="AD288" s="279"/>
      <c r="AE288" s="279"/>
      <c r="AF288" s="279"/>
      <c r="AG288" s="279"/>
      <c r="AH288" s="249"/>
      <c r="AI288" s="249"/>
      <c r="AJ288" s="249"/>
      <c r="AK288" s="249"/>
      <c r="AL288" s="249"/>
      <c r="AM288" s="249"/>
      <c r="AN288" s="249"/>
      <c r="AO288" s="249"/>
    </row>
    <row r="289" spans="13:41" x14ac:dyDescent="0.35">
      <c r="M289" s="277">
        <v>11384</v>
      </c>
      <c r="N289" s="251" t="str">
        <f t="shared" si="36"/>
        <v/>
      </c>
      <c r="O289" s="251" t="str">
        <f t="shared" si="37"/>
        <v/>
      </c>
      <c r="P289" s="251" t="str">
        <f t="shared" si="38"/>
        <v/>
      </c>
      <c r="Q289" s="251" t="str">
        <f t="shared" si="39"/>
        <v/>
      </c>
      <c r="R289" s="251" t="str">
        <f t="shared" si="40"/>
        <v/>
      </c>
      <c r="S289" s="252" t="str">
        <f t="shared" si="41"/>
        <v/>
      </c>
      <c r="T289" s="253"/>
      <c r="U289" s="278">
        <v>0.27400000000000002</v>
      </c>
      <c r="V289" s="278">
        <v>0.27200000000000002</v>
      </c>
      <c r="W289" s="278">
        <v>0.27100000000000002</v>
      </c>
      <c r="X289" s="278">
        <v>0.26600000000000001</v>
      </c>
      <c r="Y289" s="278">
        <v>0.26200000000000001</v>
      </c>
      <c r="Z289" s="278">
        <v>0.26</v>
      </c>
      <c r="AA289" s="249"/>
      <c r="AB289" s="279"/>
      <c r="AC289" s="279"/>
      <c r="AD289" s="279"/>
      <c r="AE289" s="279"/>
      <c r="AF289" s="279"/>
      <c r="AG289" s="279"/>
      <c r="AH289" s="249"/>
      <c r="AI289" s="249"/>
      <c r="AJ289" s="249"/>
      <c r="AK289" s="249"/>
      <c r="AL289" s="249"/>
      <c r="AM289" s="249"/>
      <c r="AN289" s="249"/>
      <c r="AO289" s="249"/>
    </row>
    <row r="290" spans="13:41" x14ac:dyDescent="0.35">
      <c r="M290" s="277">
        <v>19024</v>
      </c>
      <c r="N290" s="251" t="str">
        <f t="shared" si="36"/>
        <v/>
      </c>
      <c r="O290" s="251" t="str">
        <f t="shared" si="37"/>
        <v/>
      </c>
      <c r="P290" s="251" t="str">
        <f t="shared" si="38"/>
        <v/>
      </c>
      <c r="Q290" s="251" t="str">
        <f t="shared" si="39"/>
        <v/>
      </c>
      <c r="R290" s="251" t="str">
        <f t="shared" si="40"/>
        <v/>
      </c>
      <c r="S290" s="252" t="str">
        <f t="shared" si="41"/>
        <v/>
      </c>
      <c r="T290" s="253"/>
      <c r="U290" s="278">
        <v>0.28100000000000003</v>
      </c>
      <c r="V290" s="278">
        <v>0.27900000000000003</v>
      </c>
      <c r="W290" s="278">
        <v>0.27800000000000002</v>
      </c>
      <c r="X290" s="278">
        <v>0.27300000000000002</v>
      </c>
      <c r="Y290" s="278">
        <v>0.27200000000000002</v>
      </c>
      <c r="Z290" s="278">
        <v>0.26700000000000002</v>
      </c>
      <c r="AA290" s="249"/>
      <c r="AB290" s="279"/>
      <c r="AC290" s="279"/>
      <c r="AD290" s="279"/>
      <c r="AE290" s="279"/>
      <c r="AF290" s="279"/>
      <c r="AG290" s="279"/>
      <c r="AH290" s="249"/>
      <c r="AI290" s="249"/>
      <c r="AJ290" s="249"/>
      <c r="AK290" s="249"/>
      <c r="AL290" s="249"/>
      <c r="AM290" s="249"/>
      <c r="AN290" s="249"/>
      <c r="AO290" s="249"/>
    </row>
    <row r="291" spans="13:41" x14ac:dyDescent="0.35">
      <c r="M291" s="277">
        <v>20403</v>
      </c>
      <c r="N291" s="251" t="str">
        <f t="shared" si="36"/>
        <v/>
      </c>
      <c r="O291" s="251" t="str">
        <f t="shared" si="37"/>
        <v/>
      </c>
      <c r="P291" s="251" t="str">
        <f t="shared" si="38"/>
        <v/>
      </c>
      <c r="Q291" s="251" t="str">
        <f t="shared" si="39"/>
        <v/>
      </c>
      <c r="R291" s="251" t="str">
        <f t="shared" si="40"/>
        <v/>
      </c>
      <c r="S291" s="252" t="str">
        <f t="shared" si="41"/>
        <v/>
      </c>
      <c r="T291" s="253"/>
      <c r="U291" s="278">
        <v>0.28799999999999998</v>
      </c>
      <c r="V291" s="278">
        <v>0.28599999999999998</v>
      </c>
      <c r="W291" s="278">
        <v>0.28499999999999998</v>
      </c>
      <c r="X291" s="278">
        <v>0.28000000000000003</v>
      </c>
      <c r="Y291" s="278">
        <v>0.27900000000000003</v>
      </c>
      <c r="Z291" s="278">
        <v>0.27400000000000002</v>
      </c>
      <c r="AA291" s="249"/>
      <c r="AB291" s="279"/>
      <c r="AC291" s="279"/>
      <c r="AD291" s="279"/>
      <c r="AE291" s="279"/>
      <c r="AF291" s="279"/>
      <c r="AG291" s="279"/>
      <c r="AH291" s="249"/>
      <c r="AI291" s="249"/>
      <c r="AJ291" s="249"/>
      <c r="AK291" s="249"/>
      <c r="AL291" s="249"/>
      <c r="AM291" s="249"/>
      <c r="AN291" s="249"/>
      <c r="AO291" s="249"/>
    </row>
    <row r="292" spans="13:41" x14ac:dyDescent="0.35">
      <c r="M292" s="277">
        <v>22954</v>
      </c>
      <c r="N292" s="251" t="str">
        <f t="shared" si="36"/>
        <v/>
      </c>
      <c r="O292" s="251" t="str">
        <f t="shared" si="37"/>
        <v/>
      </c>
      <c r="P292" s="251" t="str">
        <f t="shared" si="38"/>
        <v/>
      </c>
      <c r="Q292" s="251" t="str">
        <f t="shared" si="39"/>
        <v/>
      </c>
      <c r="R292" s="251" t="str">
        <f t="shared" si="40"/>
        <v/>
      </c>
      <c r="S292" s="252" t="str">
        <f t="shared" si="41"/>
        <v/>
      </c>
      <c r="T292" s="253"/>
      <c r="U292" s="278">
        <v>0.29299999999999998</v>
      </c>
      <c r="V292" s="278">
        <v>0.29199999999999998</v>
      </c>
      <c r="W292" s="278">
        <v>0.29099999999999998</v>
      </c>
      <c r="X292" s="278">
        <v>0.28699999999999998</v>
      </c>
      <c r="Y292" s="278">
        <v>0.28599999999999998</v>
      </c>
      <c r="Z292" s="278">
        <v>0.28299999999999997</v>
      </c>
      <c r="AA292" s="249"/>
      <c r="AB292" s="279"/>
      <c r="AC292" s="279"/>
      <c r="AD292" s="279"/>
      <c r="AE292" s="279"/>
      <c r="AF292" s="279"/>
      <c r="AG292" s="279"/>
      <c r="AH292" s="249"/>
      <c r="AI292" s="249"/>
      <c r="AJ292" s="249"/>
      <c r="AK292" s="249"/>
      <c r="AL292" s="249"/>
      <c r="AM292" s="249"/>
      <c r="AN292" s="249"/>
      <c r="AO292" s="249"/>
    </row>
    <row r="293" spans="13:41" x14ac:dyDescent="0.35">
      <c r="M293" s="277">
        <v>25504</v>
      </c>
      <c r="N293" s="251" t="str">
        <f t="shared" si="36"/>
        <v/>
      </c>
      <c r="O293" s="251" t="str">
        <f t="shared" si="37"/>
        <v/>
      </c>
      <c r="P293" s="251" t="str">
        <f t="shared" si="38"/>
        <v/>
      </c>
      <c r="Q293" s="251" t="str">
        <f t="shared" si="39"/>
        <v/>
      </c>
      <c r="R293" s="251" t="str">
        <f t="shared" si="40"/>
        <v/>
      </c>
      <c r="S293" s="252" t="str">
        <f t="shared" si="41"/>
        <v/>
      </c>
      <c r="T293" s="253"/>
      <c r="U293" s="278">
        <v>0.3</v>
      </c>
      <c r="V293" s="278">
        <v>0.29899999999999999</v>
      </c>
      <c r="W293" s="278">
        <v>0.29799999999999999</v>
      </c>
      <c r="X293" s="278">
        <v>0.29299999999999998</v>
      </c>
      <c r="Y293" s="278">
        <v>0.29199999999999998</v>
      </c>
      <c r="Z293" s="278">
        <v>0.29099999999999998</v>
      </c>
      <c r="AA293" s="249"/>
      <c r="AB293" s="279"/>
      <c r="AC293" s="279"/>
      <c r="AD293" s="279"/>
      <c r="AE293" s="279"/>
      <c r="AF293" s="279"/>
      <c r="AG293" s="279"/>
      <c r="AH293" s="249"/>
      <c r="AI293" s="249"/>
      <c r="AJ293" s="249"/>
      <c r="AK293" s="249"/>
      <c r="AL293" s="249"/>
      <c r="AM293" s="249"/>
      <c r="AN293" s="249"/>
      <c r="AO293" s="249"/>
    </row>
    <row r="294" spans="13:41" x14ac:dyDescent="0.35">
      <c r="M294" s="277">
        <v>25504</v>
      </c>
      <c r="N294" s="251" t="str">
        <f t="shared" si="36"/>
        <v/>
      </c>
      <c r="O294" s="251" t="str">
        <f t="shared" si="37"/>
        <v/>
      </c>
      <c r="P294" s="251" t="str">
        <f t="shared" si="38"/>
        <v/>
      </c>
      <c r="Q294" s="251" t="str">
        <f t="shared" si="39"/>
        <v/>
      </c>
      <c r="R294" s="251" t="str">
        <f t="shared" si="40"/>
        <v/>
      </c>
      <c r="S294" s="252" t="str">
        <f t="shared" si="41"/>
        <v/>
      </c>
      <c r="T294" s="253"/>
      <c r="U294" s="278">
        <v>0.307</v>
      </c>
      <c r="V294" s="278">
        <v>0.30599999999999999</v>
      </c>
      <c r="W294" s="278">
        <v>0.30499999999999999</v>
      </c>
      <c r="X294" s="278">
        <v>0.3</v>
      </c>
      <c r="Y294" s="278">
        <v>0.29899999999999999</v>
      </c>
      <c r="Z294" s="278">
        <v>0.29799999999999999</v>
      </c>
      <c r="AA294" s="249"/>
      <c r="AB294" s="279"/>
      <c r="AC294" s="279"/>
      <c r="AD294" s="279"/>
      <c r="AE294" s="279"/>
      <c r="AF294" s="279"/>
      <c r="AG294" s="279"/>
      <c r="AH294" s="249"/>
      <c r="AI294" s="249"/>
      <c r="AJ294" s="249"/>
      <c r="AK294" s="249"/>
      <c r="AL294" s="249"/>
      <c r="AM294" s="249"/>
      <c r="AN294" s="249"/>
      <c r="AO294" s="249"/>
    </row>
    <row r="295" spans="13:41" x14ac:dyDescent="0.35">
      <c r="M295" s="277">
        <v>25504</v>
      </c>
      <c r="N295" s="251" t="str">
        <f t="shared" si="36"/>
        <v/>
      </c>
      <c r="O295" s="251" t="str">
        <f t="shared" si="37"/>
        <v/>
      </c>
      <c r="P295" s="251" t="str">
        <f t="shared" si="38"/>
        <v/>
      </c>
      <c r="Q295" s="251" t="str">
        <f t="shared" si="39"/>
        <v/>
      </c>
      <c r="R295" s="251" t="str">
        <f t="shared" si="40"/>
        <v/>
      </c>
      <c r="S295" s="252" t="str">
        <f t="shared" si="41"/>
        <v/>
      </c>
      <c r="T295" s="253"/>
      <c r="U295" s="278">
        <v>0.307</v>
      </c>
      <c r="V295" s="278">
        <v>0.30599999999999999</v>
      </c>
      <c r="W295" s="278">
        <v>0.30499999999999999</v>
      </c>
      <c r="X295" s="278">
        <v>0.3</v>
      </c>
      <c r="Y295" s="278">
        <v>0.29899999999999999</v>
      </c>
      <c r="Z295" s="278">
        <v>0.29799999999999999</v>
      </c>
      <c r="AA295" s="249"/>
      <c r="AB295" s="279"/>
      <c r="AC295" s="279"/>
      <c r="AD295" s="279"/>
      <c r="AE295" s="279"/>
      <c r="AF295" s="279"/>
      <c r="AG295" s="279"/>
      <c r="AH295" s="249"/>
      <c r="AI295" s="249"/>
      <c r="AJ295" s="249"/>
      <c r="AK295" s="249"/>
      <c r="AL295" s="249"/>
      <c r="AM295" s="249"/>
      <c r="AN295" s="249"/>
      <c r="AO295" s="249"/>
    </row>
    <row r="296" spans="13:41" x14ac:dyDescent="0.35">
      <c r="M296" s="277">
        <v>25504</v>
      </c>
      <c r="N296" s="251" t="str">
        <f>IF($R$11&gt;=M295+0.01,U296,"")</f>
        <v/>
      </c>
      <c r="O296" s="251" t="str">
        <f>IF($R$11&gt;=M295,V296,"")</f>
        <v/>
      </c>
      <c r="P296" s="251" t="str">
        <f>IF($R$11&gt;=M295,W296,"")</f>
        <v/>
      </c>
      <c r="Q296" s="251" t="str">
        <f>IF($R$11&gt;=M295,X296,"")</f>
        <v/>
      </c>
      <c r="R296" s="252" t="str">
        <f>IF($R$11&gt;=M295,Y296,"")</f>
        <v/>
      </c>
      <c r="S296" s="251" t="str">
        <f>IF($R$11&gt;=M295,Z296,"")</f>
        <v/>
      </c>
      <c r="T296" s="253"/>
      <c r="U296" s="278">
        <v>0.307</v>
      </c>
      <c r="V296" s="278">
        <v>0.30599999999999999</v>
      </c>
      <c r="W296" s="278">
        <v>0.30499999999999999</v>
      </c>
      <c r="X296" s="278">
        <v>0.3</v>
      </c>
      <c r="Y296" s="278">
        <v>0.29899999999999999</v>
      </c>
      <c r="Z296" s="278">
        <v>0.29799999999999999</v>
      </c>
      <c r="AA296" s="249"/>
      <c r="AB296" s="279"/>
      <c r="AC296" s="279"/>
      <c r="AD296" s="279"/>
      <c r="AE296" s="279"/>
      <c r="AF296" s="279"/>
      <c r="AG296" s="279"/>
      <c r="AH296" s="249"/>
      <c r="AI296" s="249"/>
      <c r="AJ296" s="249"/>
      <c r="AK296" s="249"/>
      <c r="AL296" s="249"/>
      <c r="AM296" s="249"/>
      <c r="AN296" s="249"/>
      <c r="AO296" s="249"/>
    </row>
    <row r="297" spans="13:41" x14ac:dyDescent="0.35">
      <c r="M297" s="249"/>
      <c r="N297" s="280" t="str">
        <f>IF($A$15=2,IF($A$2=3,IF($I$2=0,SUM(N259:N296),""),""),"")</f>
        <v/>
      </c>
      <c r="O297" s="281" t="str">
        <f>IF($A$15=2,IF($A$2=3,IF($I$2=1,SUM(O259:O296),""),""),"")</f>
        <v/>
      </c>
      <c r="P297" s="281" t="str">
        <f>IF($A$15=2,IF($A$2=3,IF($I$2=2,SUM(P259:P296),""),""),"")</f>
        <v/>
      </c>
      <c r="Q297" s="281" t="str">
        <f>IF($A$15=2,IF($A$2=3,IF($I$2=3,SUM(Q259:Q296),""),""),"")</f>
        <v/>
      </c>
      <c r="R297" s="281" t="str">
        <f>IF($A$15=2,IF($A$2=3,IF($I$2=4,SUM(R259:R296),""),""),"")</f>
        <v/>
      </c>
      <c r="S297" s="282" t="str">
        <f>IF($A$15=2,IF($A$2=3,IF($I$2=5,SUM(S259:S296),""),""),"")</f>
        <v/>
      </c>
      <c r="T297" s="260">
        <f>SUM(N297:S297)</f>
        <v>0</v>
      </c>
      <c r="U297" s="253"/>
      <c r="V297" s="253"/>
      <c r="W297" s="253"/>
      <c r="X297" s="253"/>
      <c r="Y297" s="253"/>
      <c r="Z297" s="253"/>
      <c r="AA297" s="249"/>
      <c r="AB297" s="279"/>
      <c r="AC297" s="279"/>
      <c r="AD297" s="279"/>
      <c r="AE297" s="279"/>
      <c r="AF297" s="279"/>
      <c r="AG297" s="279"/>
      <c r="AH297" s="249"/>
      <c r="AI297" s="249"/>
      <c r="AJ297" s="249"/>
      <c r="AK297" s="249"/>
      <c r="AL297" s="249"/>
      <c r="AM297" s="249"/>
      <c r="AN297" s="249"/>
      <c r="AO297" s="249"/>
    </row>
    <row r="298" spans="13:41" x14ac:dyDescent="0.35">
      <c r="M298" s="249"/>
      <c r="N298" s="249"/>
      <c r="O298" s="249"/>
      <c r="P298" s="249"/>
      <c r="Q298" s="249"/>
      <c r="R298" s="249"/>
      <c r="S298" s="249"/>
      <c r="T298" s="253"/>
      <c r="U298" s="253"/>
      <c r="V298" s="253"/>
      <c r="W298" s="253"/>
      <c r="X298" s="253"/>
      <c r="Y298" s="253"/>
      <c r="Z298" s="253"/>
      <c r="AA298" s="249"/>
      <c r="AB298" s="249"/>
      <c r="AC298" s="249"/>
      <c r="AD298" s="249"/>
      <c r="AE298" s="249"/>
      <c r="AF298" s="249"/>
      <c r="AG298" s="249"/>
      <c r="AH298" s="249"/>
      <c r="AI298" s="249"/>
      <c r="AJ298" s="249"/>
      <c r="AK298" s="249"/>
      <c r="AL298" s="249"/>
      <c r="AM298" s="249"/>
      <c r="AN298" s="249"/>
      <c r="AO298" s="249"/>
    </row>
    <row r="299" spans="13:41" x14ac:dyDescent="0.35">
      <c r="M299" s="249"/>
      <c r="N299" s="249"/>
      <c r="O299" s="249"/>
      <c r="P299" s="249"/>
      <c r="Q299" s="249"/>
      <c r="R299" s="249"/>
      <c r="S299" s="249"/>
      <c r="T299" s="253"/>
      <c r="U299" s="253"/>
      <c r="V299" s="253"/>
      <c r="W299" s="253"/>
      <c r="X299" s="253"/>
      <c r="Y299" s="253"/>
      <c r="Z299" s="253"/>
      <c r="AA299" s="249"/>
      <c r="AB299" s="249"/>
      <c r="AC299" s="249"/>
      <c r="AD299" s="249"/>
      <c r="AE299" s="249"/>
      <c r="AF299" s="249"/>
      <c r="AG299" s="249"/>
      <c r="AH299" s="249"/>
      <c r="AI299" s="249"/>
      <c r="AJ299" s="249"/>
      <c r="AK299" s="249"/>
      <c r="AL299" s="249"/>
      <c r="AM299" s="249"/>
      <c r="AN299" s="249"/>
      <c r="AO299" s="249"/>
    </row>
    <row r="300" spans="13:41" x14ac:dyDescent="0.35">
      <c r="M300" s="263" t="s">
        <v>214</v>
      </c>
      <c r="N300" s="284"/>
      <c r="O300" s="284" t="s">
        <v>257</v>
      </c>
      <c r="P300" s="284"/>
      <c r="Q300" s="284"/>
      <c r="R300" s="284"/>
      <c r="S300" s="285"/>
      <c r="T300" s="253"/>
      <c r="U300" s="286" t="str">
        <f>O300</f>
        <v>Tabelas de IRS de retenção na fonte referente a 2022 na Madeira</v>
      </c>
      <c r="V300" s="253"/>
      <c r="W300" s="253"/>
      <c r="X300" s="253"/>
      <c r="Y300" s="253"/>
      <c r="Z300" s="253"/>
      <c r="AA300" s="249"/>
      <c r="AB300" s="249"/>
      <c r="AC300" s="249"/>
      <c r="AD300" s="249"/>
      <c r="AE300" s="249"/>
      <c r="AF300" s="249"/>
      <c r="AG300" s="249"/>
      <c r="AH300" s="249"/>
      <c r="AI300" s="249"/>
      <c r="AJ300" s="249"/>
      <c r="AK300" s="249"/>
      <c r="AL300" s="249"/>
      <c r="AM300" s="249"/>
      <c r="AN300" s="249"/>
      <c r="AO300" s="249"/>
    </row>
    <row r="301" spans="13:41" x14ac:dyDescent="0.35">
      <c r="M301" s="285"/>
      <c r="N301" s="284"/>
      <c r="O301" s="284" t="s">
        <v>150</v>
      </c>
      <c r="P301" s="285"/>
      <c r="Q301" s="284"/>
      <c r="R301" s="284"/>
      <c r="S301" s="285"/>
      <c r="T301" s="253"/>
      <c r="U301" s="286" t="str">
        <f>O301</f>
        <v xml:space="preserve">TABELA I - TRABALHO DEPENDENTE </v>
      </c>
      <c r="V301" s="253"/>
      <c r="W301" s="253"/>
      <c r="X301" s="253"/>
      <c r="Y301" s="253"/>
      <c r="Z301" s="253"/>
      <c r="AA301" s="249"/>
      <c r="AB301" s="249"/>
      <c r="AC301" s="249"/>
      <c r="AD301" s="249"/>
      <c r="AE301" s="249"/>
      <c r="AF301" s="249"/>
      <c r="AG301" s="249"/>
      <c r="AH301" s="249"/>
      <c r="AI301" s="249"/>
      <c r="AJ301" s="249"/>
      <c r="AK301" s="249"/>
      <c r="AL301" s="249"/>
      <c r="AM301" s="249"/>
      <c r="AN301" s="249"/>
      <c r="AO301" s="249"/>
    </row>
    <row r="302" spans="13:41" x14ac:dyDescent="0.35">
      <c r="M302" s="284"/>
      <c r="N302" s="284"/>
      <c r="O302" s="284" t="s">
        <v>152</v>
      </c>
      <c r="P302" s="285"/>
      <c r="Q302" s="284"/>
      <c r="R302" s="284"/>
      <c r="S302" s="285"/>
      <c r="T302" s="253"/>
      <c r="U302" s="286" t="str">
        <f>O302</f>
        <v>NÃO CASADO</v>
      </c>
      <c r="V302" s="253"/>
      <c r="W302" s="253"/>
      <c r="X302" s="253"/>
      <c r="Y302" s="253"/>
      <c r="Z302" s="253"/>
      <c r="AA302" s="249"/>
      <c r="AB302" s="249"/>
      <c r="AC302" s="249"/>
      <c r="AD302" s="249"/>
      <c r="AE302" s="249"/>
      <c r="AF302" s="249"/>
      <c r="AG302" s="249"/>
      <c r="AH302" s="249"/>
      <c r="AI302" s="249"/>
      <c r="AJ302" s="249"/>
      <c r="AK302" s="249"/>
      <c r="AL302" s="249"/>
      <c r="AM302" s="249"/>
      <c r="AN302" s="249"/>
      <c r="AO302" s="249"/>
    </row>
    <row r="303" spans="13:41" x14ac:dyDescent="0.35">
      <c r="M303" s="267" t="s">
        <v>154</v>
      </c>
      <c r="N303" s="268" t="s">
        <v>155</v>
      </c>
      <c r="O303" s="268" t="s">
        <v>156</v>
      </c>
      <c r="P303" s="268" t="s">
        <v>157</v>
      </c>
      <c r="Q303" s="268" t="s">
        <v>158</v>
      </c>
      <c r="R303" s="268" t="s">
        <v>159</v>
      </c>
      <c r="S303" s="268" t="s">
        <v>160</v>
      </c>
      <c r="T303" s="253"/>
      <c r="U303" s="269" t="str">
        <f t="shared" ref="U303:Z303" si="42">N303</f>
        <v>0 dep</v>
      </c>
      <c r="V303" s="269" t="str">
        <f t="shared" si="42"/>
        <v>1 dep</v>
      </c>
      <c r="W303" s="269" t="str">
        <f t="shared" si="42"/>
        <v>2 dep</v>
      </c>
      <c r="X303" s="269" t="str">
        <f t="shared" si="42"/>
        <v>3 dep</v>
      </c>
      <c r="Y303" s="269" t="str">
        <f t="shared" si="42"/>
        <v>4 dep</v>
      </c>
      <c r="Z303" s="269" t="str">
        <f t="shared" si="42"/>
        <v>5 dep. ou +</v>
      </c>
      <c r="AA303" s="249"/>
      <c r="AB303" s="249"/>
      <c r="AC303" s="249"/>
      <c r="AD303" s="249"/>
      <c r="AE303" s="249"/>
      <c r="AF303" s="249"/>
      <c r="AG303" s="249"/>
      <c r="AH303" s="249"/>
      <c r="AI303" s="249"/>
      <c r="AJ303" s="249"/>
      <c r="AK303" s="249"/>
      <c r="AL303" s="249"/>
      <c r="AM303" s="249"/>
      <c r="AN303" s="249"/>
      <c r="AO303" s="249"/>
    </row>
    <row r="304" spans="13:41" x14ac:dyDescent="0.35">
      <c r="M304" s="250">
        <v>725</v>
      </c>
      <c r="N304" s="251" t="str">
        <f>IF($R$11&lt;=M304,IF($R$11&gt;=0,0,""),"")</f>
        <v/>
      </c>
      <c r="O304" s="251" t="str">
        <f>IF($R$11&lt;=M304,IF($R$11&gt;=0,0,""),"")</f>
        <v/>
      </c>
      <c r="P304" s="251" t="str">
        <f>IF($R$11&lt;=M304,IF($R$11&gt;=0,0,""),"")</f>
        <v/>
      </c>
      <c r="Q304" s="251" t="str">
        <f>IF($R$11&lt;=M304,IF($R$11&gt;=0,0,""),"")</f>
        <v/>
      </c>
      <c r="R304" s="251" t="str">
        <f>IF($R$11&lt;=M304,IF($R$11&gt;=0,0,""),"")</f>
        <v/>
      </c>
      <c r="S304" s="251" t="str">
        <f>IF($R$11&lt;=M304,IF($R$11&gt;=0,0,""),"")</f>
        <v/>
      </c>
      <c r="T304" s="253"/>
      <c r="U304" s="287">
        <v>0</v>
      </c>
      <c r="V304" s="287">
        <v>0</v>
      </c>
      <c r="W304" s="287">
        <v>0</v>
      </c>
      <c r="X304" s="287">
        <v>0</v>
      </c>
      <c r="Y304" s="287">
        <v>0</v>
      </c>
      <c r="Z304" s="287">
        <v>0</v>
      </c>
      <c r="AA304" s="249"/>
      <c r="AB304" s="249"/>
      <c r="AC304" s="249"/>
      <c r="AD304" s="249"/>
      <c r="AE304" s="249"/>
      <c r="AF304" s="249"/>
      <c r="AG304" s="249"/>
      <c r="AH304" s="249"/>
      <c r="AI304" s="249"/>
      <c r="AJ304" s="249"/>
      <c r="AK304" s="249"/>
      <c r="AL304" s="249"/>
      <c r="AM304" s="249"/>
      <c r="AN304" s="249"/>
      <c r="AO304" s="249"/>
    </row>
    <row r="305" spans="13:41" x14ac:dyDescent="0.35">
      <c r="M305" s="250">
        <v>740</v>
      </c>
      <c r="N305" s="251" t="str">
        <f t="shared" ref="N305:N340" si="43">IF($R$11&lt;=M305,IF($R$11&gt;=M304+0.01,U305,""),"")</f>
        <v/>
      </c>
      <c r="O305" s="251" t="str">
        <f t="shared" ref="O305:O340" si="44">IF($R$11&lt;=M305,IF($R$11&gt;=M304+0.01,V305,""),"")</f>
        <v/>
      </c>
      <c r="P305" s="251" t="str">
        <f t="shared" ref="P305:P340" si="45">IF($R$11&lt;=M305,IF($R$11&gt;=M304+0.01,W305,""),"")</f>
        <v/>
      </c>
      <c r="Q305" s="251" t="str">
        <f t="shared" ref="Q305:Q340" si="46">IF($R$11&lt;=M305,IF($R$11&gt;=M304+0.01,X305,""),"")</f>
        <v/>
      </c>
      <c r="R305" s="251" t="str">
        <f t="shared" ref="R305:R340" si="47">IF($R$11&lt;=M305,IF($R$11&gt;=M304+0.01,Y305,""),"")</f>
        <v/>
      </c>
      <c r="S305" s="252" t="str">
        <f t="shared" ref="S305:S340" si="48">IF($R$11&lt;=M305,IF($R$11&gt;=M304+0.01,Z305,""),"")</f>
        <v/>
      </c>
      <c r="T305" s="253"/>
      <c r="U305" s="287">
        <v>3.2000000000000001E-2</v>
      </c>
      <c r="V305" s="287">
        <v>4.0000000000000001E-3</v>
      </c>
      <c r="W305" s="287">
        <v>0</v>
      </c>
      <c r="X305" s="287">
        <v>0</v>
      </c>
      <c r="Y305" s="287">
        <v>0</v>
      </c>
      <c r="Z305" s="287">
        <v>0</v>
      </c>
      <c r="AA305" s="249"/>
      <c r="AB305" s="288"/>
      <c r="AC305" s="288"/>
      <c r="AD305" s="288"/>
      <c r="AE305" s="288"/>
      <c r="AF305" s="288"/>
      <c r="AG305" s="288"/>
      <c r="AH305" s="249"/>
      <c r="AI305" s="249"/>
      <c r="AJ305" s="249"/>
      <c r="AK305" s="249"/>
      <c r="AL305" s="249"/>
      <c r="AM305" s="249"/>
      <c r="AN305" s="249"/>
      <c r="AO305" s="249"/>
    </row>
    <row r="306" spans="13:41" x14ac:dyDescent="0.35">
      <c r="M306" s="250">
        <v>760</v>
      </c>
      <c r="N306" s="251" t="str">
        <f t="shared" si="43"/>
        <v/>
      </c>
      <c r="O306" s="251" t="str">
        <f t="shared" si="44"/>
        <v/>
      </c>
      <c r="P306" s="251" t="str">
        <f t="shared" si="45"/>
        <v/>
      </c>
      <c r="Q306" s="251" t="str">
        <f t="shared" si="46"/>
        <v/>
      </c>
      <c r="R306" s="251" t="str">
        <f t="shared" si="47"/>
        <v/>
      </c>
      <c r="S306" s="252" t="str">
        <f t="shared" si="48"/>
        <v/>
      </c>
      <c r="T306" s="253"/>
      <c r="U306" s="287">
        <v>3.5000000000000003E-2</v>
      </c>
      <c r="V306" s="287">
        <v>6.0000000000000001E-3</v>
      </c>
      <c r="W306" s="287">
        <v>0</v>
      </c>
      <c r="X306" s="287">
        <v>0</v>
      </c>
      <c r="Y306" s="287">
        <v>0</v>
      </c>
      <c r="Z306" s="287">
        <v>0</v>
      </c>
      <c r="AA306" s="249"/>
      <c r="AB306" s="288"/>
      <c r="AC306" s="288"/>
      <c r="AD306" s="288"/>
      <c r="AE306" s="288"/>
      <c r="AF306" s="288"/>
      <c r="AG306" s="288"/>
      <c r="AH306" s="249"/>
      <c r="AI306" s="249"/>
      <c r="AJ306" s="249"/>
      <c r="AK306" s="249"/>
      <c r="AL306" s="249"/>
      <c r="AM306" s="249"/>
      <c r="AN306" s="249"/>
      <c r="AO306" s="249"/>
    </row>
    <row r="307" spans="13:41" x14ac:dyDescent="0.35">
      <c r="M307" s="250">
        <v>822</v>
      </c>
      <c r="N307" s="251" t="str">
        <f t="shared" si="43"/>
        <v/>
      </c>
      <c r="O307" s="251" t="str">
        <f t="shared" si="44"/>
        <v/>
      </c>
      <c r="P307" s="251" t="str">
        <f t="shared" si="45"/>
        <v/>
      </c>
      <c r="Q307" s="251" t="str">
        <f t="shared" si="46"/>
        <v/>
      </c>
      <c r="R307" s="251" t="str">
        <f t="shared" si="47"/>
        <v/>
      </c>
      <c r="S307" s="252" t="str">
        <f t="shared" si="48"/>
        <v/>
      </c>
      <c r="T307" s="253"/>
      <c r="U307" s="287">
        <v>5.5E-2</v>
      </c>
      <c r="V307" s="287">
        <v>3.2000000000000001E-2</v>
      </c>
      <c r="W307" s="287">
        <v>7.0000000000000001E-3</v>
      </c>
      <c r="X307" s="287">
        <v>0</v>
      </c>
      <c r="Y307" s="287">
        <v>0</v>
      </c>
      <c r="Z307" s="287">
        <v>0</v>
      </c>
      <c r="AA307" s="249"/>
      <c r="AB307" s="288"/>
      <c r="AC307" s="288"/>
      <c r="AD307" s="288"/>
      <c r="AE307" s="288"/>
      <c r="AF307" s="288"/>
      <c r="AG307" s="288"/>
      <c r="AH307" s="249"/>
      <c r="AI307" s="249"/>
      <c r="AJ307" s="249"/>
      <c r="AK307" s="249"/>
      <c r="AL307" s="249"/>
      <c r="AM307" s="249"/>
      <c r="AN307" s="249"/>
      <c r="AO307" s="249"/>
    </row>
    <row r="308" spans="13:41" x14ac:dyDescent="0.35">
      <c r="M308" s="250">
        <v>931</v>
      </c>
      <c r="N308" s="251" t="str">
        <f t="shared" si="43"/>
        <v/>
      </c>
      <c r="O308" s="251" t="str">
        <f t="shared" si="44"/>
        <v/>
      </c>
      <c r="P308" s="251" t="str">
        <f t="shared" si="45"/>
        <v/>
      </c>
      <c r="Q308" s="251" t="str">
        <f t="shared" si="46"/>
        <v/>
      </c>
      <c r="R308" s="251" t="str">
        <f t="shared" si="47"/>
        <v/>
      </c>
      <c r="S308" s="252" t="str">
        <f t="shared" si="48"/>
        <v/>
      </c>
      <c r="T308" s="253"/>
      <c r="U308" s="287">
        <v>7.0999999999999994E-2</v>
      </c>
      <c r="V308" s="287">
        <v>4.7E-2</v>
      </c>
      <c r="W308" s="287">
        <v>2.5000000000000001E-2</v>
      </c>
      <c r="X308" s="287">
        <v>0</v>
      </c>
      <c r="Y308" s="287">
        <v>0</v>
      </c>
      <c r="Z308" s="287">
        <v>0</v>
      </c>
      <c r="AA308" s="249"/>
      <c r="AB308" s="288"/>
      <c r="AC308" s="288"/>
      <c r="AD308" s="288"/>
      <c r="AE308" s="288"/>
      <c r="AF308" s="288"/>
      <c r="AG308" s="288"/>
      <c r="AH308" s="249"/>
      <c r="AI308" s="249"/>
      <c r="AJ308" s="249"/>
      <c r="AK308" s="249"/>
      <c r="AL308" s="249"/>
      <c r="AM308" s="249"/>
      <c r="AN308" s="249"/>
      <c r="AO308" s="249"/>
    </row>
    <row r="309" spans="13:41" x14ac:dyDescent="0.35">
      <c r="M309" s="250">
        <v>1015</v>
      </c>
      <c r="N309" s="251" t="str">
        <f t="shared" si="43"/>
        <v/>
      </c>
      <c r="O309" s="251" t="str">
        <f t="shared" si="44"/>
        <v/>
      </c>
      <c r="P309" s="251" t="str">
        <f t="shared" si="45"/>
        <v/>
      </c>
      <c r="Q309" s="251" t="str">
        <f t="shared" si="46"/>
        <v/>
      </c>
      <c r="R309" s="251" t="str">
        <f t="shared" si="47"/>
        <v/>
      </c>
      <c r="S309" s="252" t="str">
        <f t="shared" si="48"/>
        <v/>
      </c>
      <c r="T309" s="253"/>
      <c r="U309" s="287">
        <v>7.9000000000000001E-2</v>
      </c>
      <c r="V309" s="287">
        <v>5.5E-2</v>
      </c>
      <c r="W309" s="287">
        <v>0.04</v>
      </c>
      <c r="X309" s="287">
        <v>0.01</v>
      </c>
      <c r="Y309" s="287">
        <v>0</v>
      </c>
      <c r="Z309" s="287">
        <v>0</v>
      </c>
      <c r="AA309" s="249"/>
      <c r="AB309" s="288"/>
      <c r="AC309" s="288"/>
      <c r="AD309" s="288"/>
      <c r="AE309" s="288"/>
      <c r="AF309" s="288"/>
      <c r="AG309" s="288"/>
      <c r="AH309" s="249"/>
      <c r="AI309" s="249"/>
      <c r="AJ309" s="249"/>
      <c r="AK309" s="249"/>
      <c r="AL309" s="249"/>
      <c r="AM309" s="249"/>
      <c r="AN309" s="249"/>
      <c r="AO309" s="249"/>
    </row>
    <row r="310" spans="13:41" x14ac:dyDescent="0.35">
      <c r="M310" s="250">
        <v>1075</v>
      </c>
      <c r="N310" s="251" t="str">
        <f t="shared" si="43"/>
        <v/>
      </c>
      <c r="O310" s="251" t="str">
        <f t="shared" si="44"/>
        <v/>
      </c>
      <c r="P310" s="251" t="str">
        <f t="shared" si="45"/>
        <v/>
      </c>
      <c r="Q310" s="251" t="str">
        <f t="shared" si="46"/>
        <v/>
      </c>
      <c r="R310" s="251" t="str">
        <f t="shared" si="47"/>
        <v/>
      </c>
      <c r="S310" s="252" t="str">
        <f t="shared" si="48"/>
        <v/>
      </c>
      <c r="T310" s="253"/>
      <c r="U310" s="287">
        <v>9.1999999999999998E-2</v>
      </c>
      <c r="V310" s="287">
        <v>6.7000000000000004E-2</v>
      </c>
      <c r="W310" s="287">
        <v>4.9000000000000002E-2</v>
      </c>
      <c r="X310" s="287">
        <v>2.5000000000000001E-2</v>
      </c>
      <c r="Y310" s="287">
        <v>0</v>
      </c>
      <c r="Z310" s="287">
        <v>0</v>
      </c>
      <c r="AA310" s="249"/>
      <c r="AB310" s="288"/>
      <c r="AC310" s="288"/>
      <c r="AD310" s="288"/>
      <c r="AE310" s="288"/>
      <c r="AF310" s="288"/>
      <c r="AG310" s="288"/>
      <c r="AH310" s="249"/>
      <c r="AI310" s="249"/>
      <c r="AJ310" s="249"/>
      <c r="AK310" s="249"/>
      <c r="AL310" s="249"/>
      <c r="AM310" s="249"/>
      <c r="AN310" s="249"/>
      <c r="AO310" s="249"/>
    </row>
    <row r="311" spans="13:41" x14ac:dyDescent="0.35">
      <c r="M311" s="250">
        <v>1154</v>
      </c>
      <c r="N311" s="251" t="str">
        <f t="shared" si="43"/>
        <v/>
      </c>
      <c r="O311" s="251" t="str">
        <f t="shared" si="44"/>
        <v/>
      </c>
      <c r="P311" s="251" t="str">
        <f t="shared" si="45"/>
        <v/>
      </c>
      <c r="Q311" s="251" t="str">
        <f t="shared" si="46"/>
        <v/>
      </c>
      <c r="R311" s="251" t="str">
        <f t="shared" si="47"/>
        <v/>
      </c>
      <c r="S311" s="252" t="str">
        <f t="shared" si="48"/>
        <v/>
      </c>
      <c r="T311" s="253"/>
      <c r="U311" s="287">
        <v>9.9000000000000005E-2</v>
      </c>
      <c r="V311" s="287">
        <v>8.1000000000000003E-2</v>
      </c>
      <c r="W311" s="287">
        <v>6.3E-2</v>
      </c>
      <c r="X311" s="287">
        <v>3.9E-2</v>
      </c>
      <c r="Y311" s="287">
        <v>2.1000000000000001E-2</v>
      </c>
      <c r="Z311" s="287">
        <v>2E-3</v>
      </c>
      <c r="AA311" s="249"/>
      <c r="AB311" s="288"/>
      <c r="AC311" s="288"/>
      <c r="AD311" s="288"/>
      <c r="AE311" s="288"/>
      <c r="AF311" s="288"/>
      <c r="AG311" s="288"/>
      <c r="AH311" s="249"/>
      <c r="AI311" s="249"/>
      <c r="AJ311" s="249"/>
      <c r="AK311" s="249"/>
      <c r="AL311" s="249"/>
      <c r="AM311" s="249"/>
      <c r="AN311" s="249"/>
      <c r="AO311" s="249"/>
    </row>
    <row r="312" spans="13:41" x14ac:dyDescent="0.35">
      <c r="M312" s="250">
        <v>1237</v>
      </c>
      <c r="N312" s="251" t="str">
        <f t="shared" si="43"/>
        <v/>
      </c>
      <c r="O312" s="251" t="str">
        <f t="shared" si="44"/>
        <v/>
      </c>
      <c r="P312" s="251" t="str">
        <f t="shared" si="45"/>
        <v/>
      </c>
      <c r="Q312" s="251" t="str">
        <f t="shared" si="46"/>
        <v/>
      </c>
      <c r="R312" s="251" t="str">
        <f t="shared" si="47"/>
        <v/>
      </c>
      <c r="S312" s="252" t="str">
        <f t="shared" si="48"/>
        <v/>
      </c>
      <c r="T312" s="253"/>
      <c r="U312" s="287">
        <v>0.107</v>
      </c>
      <c r="V312" s="287">
        <v>0.09</v>
      </c>
      <c r="W312" s="287">
        <v>7.0999999999999994E-2</v>
      </c>
      <c r="X312" s="287">
        <v>4.5999999999999999E-2</v>
      </c>
      <c r="Y312" s="287">
        <v>2.7E-2</v>
      </c>
      <c r="Z312" s="287">
        <v>8.9999999999999993E-3</v>
      </c>
      <c r="AA312" s="249"/>
      <c r="AB312" s="288"/>
      <c r="AC312" s="288"/>
      <c r="AD312" s="288"/>
      <c r="AE312" s="288"/>
      <c r="AF312" s="288"/>
      <c r="AG312" s="288"/>
      <c r="AH312" s="249"/>
      <c r="AI312" s="249"/>
      <c r="AJ312" s="249"/>
      <c r="AK312" s="249"/>
      <c r="AL312" s="249"/>
      <c r="AM312" s="249"/>
      <c r="AN312" s="249"/>
      <c r="AO312" s="249"/>
    </row>
    <row r="313" spans="13:41" x14ac:dyDescent="0.35">
      <c r="M313" s="250">
        <v>1333</v>
      </c>
      <c r="N313" s="251" t="str">
        <f t="shared" si="43"/>
        <v/>
      </c>
      <c r="O313" s="251" t="str">
        <f t="shared" si="44"/>
        <v/>
      </c>
      <c r="P313" s="251" t="str">
        <f t="shared" si="45"/>
        <v/>
      </c>
      <c r="Q313" s="251" t="str">
        <f t="shared" si="46"/>
        <v/>
      </c>
      <c r="R313" s="251" t="str">
        <f t="shared" si="47"/>
        <v/>
      </c>
      <c r="S313" s="252" t="str">
        <f t="shared" si="48"/>
        <v/>
      </c>
      <c r="T313" s="253"/>
      <c r="U313" s="287">
        <v>0.115</v>
      </c>
      <c r="V313" s="287">
        <v>9.7000000000000003E-2</v>
      </c>
      <c r="W313" s="287">
        <v>0.08</v>
      </c>
      <c r="X313" s="287">
        <v>5.2999999999999999E-2</v>
      </c>
      <c r="Y313" s="287">
        <v>3.5000000000000003E-2</v>
      </c>
      <c r="Z313" s="287">
        <v>1.7000000000000001E-2</v>
      </c>
      <c r="AA313" s="249"/>
      <c r="AB313" s="288"/>
      <c r="AC313" s="288"/>
      <c r="AD313" s="288"/>
      <c r="AE313" s="288"/>
      <c r="AF313" s="288"/>
      <c r="AG313" s="288"/>
      <c r="AH313" s="249"/>
      <c r="AI313" s="249"/>
      <c r="AJ313" s="249"/>
      <c r="AK313" s="249"/>
      <c r="AL313" s="249"/>
      <c r="AM313" s="249"/>
      <c r="AN313" s="249"/>
      <c r="AO313" s="249"/>
    </row>
    <row r="314" spans="13:41" x14ac:dyDescent="0.35">
      <c r="M314" s="250">
        <v>1437</v>
      </c>
      <c r="N314" s="251" t="str">
        <f t="shared" si="43"/>
        <v/>
      </c>
      <c r="O314" s="251" t="str">
        <f t="shared" si="44"/>
        <v/>
      </c>
      <c r="P314" s="251" t="str">
        <f t="shared" si="45"/>
        <v/>
      </c>
      <c r="Q314" s="251" t="str">
        <f t="shared" si="46"/>
        <v/>
      </c>
      <c r="R314" s="251" t="str">
        <f t="shared" si="47"/>
        <v/>
      </c>
      <c r="S314" s="252" t="str">
        <f t="shared" si="48"/>
        <v/>
      </c>
      <c r="T314" s="253"/>
      <c r="U314" s="287">
        <v>0.123</v>
      </c>
      <c r="V314" s="287">
        <v>0.105</v>
      </c>
      <c r="W314" s="287">
        <v>8.6999999999999994E-2</v>
      </c>
      <c r="X314" s="287">
        <v>6.0999999999999999E-2</v>
      </c>
      <c r="Y314" s="287">
        <v>4.9000000000000002E-2</v>
      </c>
      <c r="Z314" s="287">
        <v>0.03</v>
      </c>
      <c r="AA314" s="249"/>
      <c r="AB314" s="288"/>
      <c r="AC314" s="288"/>
      <c r="AD314" s="288"/>
      <c r="AE314" s="288"/>
      <c r="AF314" s="288"/>
      <c r="AG314" s="288"/>
      <c r="AH314" s="249"/>
      <c r="AI314" s="249"/>
      <c r="AJ314" s="249"/>
      <c r="AK314" s="249"/>
      <c r="AL314" s="249"/>
      <c r="AM314" s="249"/>
      <c r="AN314" s="249"/>
      <c r="AO314" s="249"/>
    </row>
    <row r="315" spans="13:41" x14ac:dyDescent="0.35">
      <c r="M315" s="250">
        <v>1577</v>
      </c>
      <c r="N315" s="251" t="str">
        <f t="shared" si="43"/>
        <v/>
      </c>
      <c r="O315" s="251" t="str">
        <f t="shared" si="44"/>
        <v/>
      </c>
      <c r="P315" s="251" t="str">
        <f t="shared" si="45"/>
        <v/>
      </c>
      <c r="Q315" s="251" t="str">
        <f t="shared" si="46"/>
        <v/>
      </c>
      <c r="R315" s="251" t="str">
        <f t="shared" si="47"/>
        <v/>
      </c>
      <c r="S315" s="252" t="str">
        <f t="shared" si="48"/>
        <v/>
      </c>
      <c r="T315" s="253"/>
      <c r="U315" s="287">
        <v>0.13100000000000001</v>
      </c>
      <c r="V315" s="287">
        <v>0.112</v>
      </c>
      <c r="W315" s="287">
        <v>9.2999999999999999E-2</v>
      </c>
      <c r="X315" s="287">
        <v>7.5999999999999998E-2</v>
      </c>
      <c r="Y315" s="287">
        <v>5.7000000000000002E-2</v>
      </c>
      <c r="Z315" s="289">
        <v>3.7999999999999999E-2</v>
      </c>
      <c r="AA315" s="249"/>
      <c r="AB315" s="288"/>
      <c r="AC315" s="288"/>
      <c r="AD315" s="288"/>
      <c r="AE315" s="288"/>
      <c r="AF315" s="288"/>
      <c r="AG315" s="288"/>
      <c r="AH315" s="249"/>
      <c r="AI315" s="249"/>
      <c r="AJ315" s="249"/>
      <c r="AK315" s="249"/>
      <c r="AL315" s="249"/>
      <c r="AM315" s="249"/>
      <c r="AN315" s="249"/>
      <c r="AO315" s="249"/>
    </row>
    <row r="316" spans="13:41" x14ac:dyDescent="0.35">
      <c r="M316" s="250">
        <v>1727</v>
      </c>
      <c r="N316" s="251">
        <f t="shared" si="43"/>
        <v>0.14099999999999999</v>
      </c>
      <c r="O316" s="251">
        <f t="shared" si="44"/>
        <v>0.124</v>
      </c>
      <c r="P316" s="251">
        <f t="shared" si="45"/>
        <v>0.112</v>
      </c>
      <c r="Q316" s="251">
        <f t="shared" si="46"/>
        <v>8.6999999999999994E-2</v>
      </c>
      <c r="R316" s="251">
        <f t="shared" si="47"/>
        <v>6.8000000000000005E-2</v>
      </c>
      <c r="S316" s="252">
        <f t="shared" si="48"/>
        <v>4.9000000000000002E-2</v>
      </c>
      <c r="T316" s="253"/>
      <c r="U316" s="287">
        <v>0.14099999999999999</v>
      </c>
      <c r="V316" s="287">
        <v>0.124</v>
      </c>
      <c r="W316" s="287">
        <v>0.112</v>
      </c>
      <c r="X316" s="287">
        <v>8.6999999999999994E-2</v>
      </c>
      <c r="Y316" s="287">
        <v>6.8000000000000005E-2</v>
      </c>
      <c r="Z316" s="287">
        <v>4.9000000000000002E-2</v>
      </c>
      <c r="AA316" s="249"/>
      <c r="AB316" s="288"/>
      <c r="AC316" s="288"/>
      <c r="AD316" s="288"/>
      <c r="AE316" s="288"/>
      <c r="AF316" s="288"/>
      <c r="AG316" s="288"/>
      <c r="AH316" s="249"/>
      <c r="AI316" s="249"/>
      <c r="AJ316" s="249"/>
      <c r="AK316" s="249"/>
      <c r="AL316" s="249"/>
      <c r="AM316" s="249"/>
      <c r="AN316" s="249"/>
      <c r="AO316" s="249"/>
    </row>
    <row r="317" spans="13:41" x14ac:dyDescent="0.35">
      <c r="M317" s="250">
        <v>1887</v>
      </c>
      <c r="N317" s="251" t="str">
        <f t="shared" si="43"/>
        <v/>
      </c>
      <c r="O317" s="251" t="str">
        <f t="shared" si="44"/>
        <v/>
      </c>
      <c r="P317" s="251" t="str">
        <f t="shared" si="45"/>
        <v/>
      </c>
      <c r="Q317" s="251" t="str">
        <f t="shared" si="46"/>
        <v/>
      </c>
      <c r="R317" s="251" t="str">
        <f t="shared" si="47"/>
        <v/>
      </c>
      <c r="S317" s="252" t="str">
        <f t="shared" si="48"/>
        <v/>
      </c>
      <c r="T317" s="253"/>
      <c r="U317" s="287">
        <v>0.156</v>
      </c>
      <c r="V317" s="287">
        <v>0.14299999999999999</v>
      </c>
      <c r="W317" s="287">
        <v>0.13600000000000001</v>
      </c>
      <c r="X317" s="287">
        <v>0.114</v>
      </c>
      <c r="Y317" s="287">
        <v>9.8000000000000004E-2</v>
      </c>
      <c r="Z317" s="287">
        <v>9.1999999999999998E-2</v>
      </c>
      <c r="AA317" s="249"/>
      <c r="AB317" s="288"/>
      <c r="AC317" s="288"/>
      <c r="AD317" s="288"/>
      <c r="AE317" s="288"/>
      <c r="AF317" s="288"/>
      <c r="AG317" s="288"/>
      <c r="AH317" s="249"/>
      <c r="AI317" s="249"/>
      <c r="AJ317" s="249"/>
      <c r="AK317" s="249"/>
      <c r="AL317" s="249"/>
      <c r="AM317" s="249"/>
      <c r="AN317" s="249"/>
      <c r="AO317" s="249"/>
    </row>
    <row r="318" spans="13:41" x14ac:dyDescent="0.35">
      <c r="M318" s="250">
        <v>1995</v>
      </c>
      <c r="N318" s="251" t="str">
        <f t="shared" si="43"/>
        <v/>
      </c>
      <c r="O318" s="251" t="str">
        <f t="shared" si="44"/>
        <v/>
      </c>
      <c r="P318" s="251" t="str">
        <f t="shared" si="45"/>
        <v/>
      </c>
      <c r="Q318" s="251" t="str">
        <f t="shared" si="46"/>
        <v/>
      </c>
      <c r="R318" s="251" t="str">
        <f t="shared" si="47"/>
        <v/>
      </c>
      <c r="S318" s="252" t="str">
        <f t="shared" si="48"/>
        <v/>
      </c>
      <c r="T318" s="253"/>
      <c r="U318" s="287">
        <v>0.16400000000000001</v>
      </c>
      <c r="V318" s="287">
        <v>0.151</v>
      </c>
      <c r="W318" s="287">
        <v>0.14299999999999999</v>
      </c>
      <c r="X318" s="287">
        <v>0.121</v>
      </c>
      <c r="Y318" s="287">
        <v>0.114</v>
      </c>
      <c r="Z318" s="287">
        <v>9.8000000000000004E-2</v>
      </c>
      <c r="AA318" s="249"/>
      <c r="AB318" s="288"/>
      <c r="AC318" s="288"/>
      <c r="AD318" s="288"/>
      <c r="AE318" s="288"/>
      <c r="AF318" s="288"/>
      <c r="AG318" s="288"/>
      <c r="AH318" s="249"/>
      <c r="AI318" s="249"/>
      <c r="AJ318" s="249"/>
      <c r="AK318" s="249"/>
      <c r="AL318" s="249"/>
      <c r="AM318" s="249"/>
      <c r="AN318" s="249"/>
      <c r="AO318" s="249"/>
    </row>
    <row r="319" spans="13:41" x14ac:dyDescent="0.35">
      <c r="M319" s="250">
        <v>2109</v>
      </c>
      <c r="N319" s="251" t="str">
        <f t="shared" si="43"/>
        <v/>
      </c>
      <c r="O319" s="251" t="str">
        <f t="shared" si="44"/>
        <v/>
      </c>
      <c r="P319" s="251" t="str">
        <f t="shared" si="45"/>
        <v/>
      </c>
      <c r="Q319" s="251" t="str">
        <f t="shared" si="46"/>
        <v/>
      </c>
      <c r="R319" s="251" t="str">
        <f t="shared" si="47"/>
        <v/>
      </c>
      <c r="S319" s="252" t="str">
        <f t="shared" si="48"/>
        <v/>
      </c>
      <c r="T319" s="253"/>
      <c r="U319" s="287">
        <v>0.183</v>
      </c>
      <c r="V319" s="287">
        <v>0.16900000000000001</v>
      </c>
      <c r="W319" s="287">
        <v>0.16</v>
      </c>
      <c r="X319" s="287">
        <v>0.13700000000000001</v>
      </c>
      <c r="Y319" s="287">
        <v>0.13</v>
      </c>
      <c r="Z319" s="287">
        <v>0.113</v>
      </c>
      <c r="AA319" s="249"/>
      <c r="AB319" s="288"/>
      <c r="AC319" s="288"/>
      <c r="AD319" s="288"/>
      <c r="AE319" s="288"/>
      <c r="AF319" s="288"/>
      <c r="AG319" s="288"/>
      <c r="AH319" s="249"/>
      <c r="AI319" s="249"/>
      <c r="AJ319" s="249"/>
      <c r="AK319" s="249"/>
      <c r="AL319" s="249"/>
      <c r="AM319" s="249"/>
      <c r="AN319" s="249"/>
      <c r="AO319" s="249"/>
    </row>
    <row r="320" spans="13:41" x14ac:dyDescent="0.35">
      <c r="M320" s="250">
        <v>2238</v>
      </c>
      <c r="N320" s="251" t="str">
        <f t="shared" si="43"/>
        <v/>
      </c>
      <c r="O320" s="251" t="str">
        <f t="shared" si="44"/>
        <v/>
      </c>
      <c r="P320" s="251" t="str">
        <f t="shared" si="45"/>
        <v/>
      </c>
      <c r="Q320" s="251" t="str">
        <f t="shared" si="46"/>
        <v/>
      </c>
      <c r="R320" s="251" t="str">
        <f t="shared" si="47"/>
        <v/>
      </c>
      <c r="S320" s="252" t="str">
        <f t="shared" si="48"/>
        <v/>
      </c>
      <c r="T320" s="253"/>
      <c r="U320" s="287">
        <v>0.191</v>
      </c>
      <c r="V320" s="287">
        <v>0.17799999999999999</v>
      </c>
      <c r="W320" s="287">
        <v>0.17</v>
      </c>
      <c r="X320" s="287">
        <v>0.14599999999999999</v>
      </c>
      <c r="Y320" s="287">
        <v>0.13800000000000001</v>
      </c>
      <c r="Z320" s="287">
        <v>0.121</v>
      </c>
      <c r="AA320" s="249"/>
      <c r="AB320" s="288"/>
      <c r="AC320" s="288"/>
      <c r="AD320" s="288"/>
      <c r="AE320" s="288"/>
      <c r="AF320" s="288"/>
      <c r="AG320" s="288"/>
      <c r="AH320" s="249"/>
      <c r="AI320" s="249"/>
      <c r="AJ320" s="249"/>
      <c r="AK320" s="249"/>
      <c r="AL320" s="249"/>
      <c r="AM320" s="249"/>
      <c r="AN320" s="249"/>
      <c r="AO320" s="249"/>
    </row>
    <row r="321" spans="13:41" x14ac:dyDescent="0.35">
      <c r="M321" s="250">
        <v>2389</v>
      </c>
      <c r="N321" s="251" t="str">
        <f t="shared" si="43"/>
        <v/>
      </c>
      <c r="O321" s="251" t="str">
        <f t="shared" si="44"/>
        <v/>
      </c>
      <c r="P321" s="251" t="str">
        <f t="shared" si="45"/>
        <v/>
      </c>
      <c r="Q321" s="251" t="str">
        <f t="shared" si="46"/>
        <v/>
      </c>
      <c r="R321" s="251" t="str">
        <f t="shared" si="47"/>
        <v/>
      </c>
      <c r="S321" s="252" t="str">
        <f t="shared" si="48"/>
        <v/>
      </c>
      <c r="T321" s="253"/>
      <c r="U321" s="287">
        <v>0.19900000000000001</v>
      </c>
      <c r="V321" s="287">
        <v>0.186</v>
      </c>
      <c r="W321" s="287">
        <v>0.17799999999999999</v>
      </c>
      <c r="X321" s="287">
        <v>0.155</v>
      </c>
      <c r="Y321" s="287">
        <v>0.14699999999999999</v>
      </c>
      <c r="Z321" s="287">
        <v>0.13</v>
      </c>
      <c r="AA321" s="249"/>
      <c r="AB321" s="288"/>
      <c r="AC321" s="288"/>
      <c r="AD321" s="288"/>
      <c r="AE321" s="288"/>
      <c r="AF321" s="288"/>
      <c r="AG321" s="288"/>
      <c r="AH321" s="249"/>
      <c r="AI321" s="249"/>
      <c r="AJ321" s="249"/>
      <c r="AK321" s="249"/>
      <c r="AL321" s="249"/>
      <c r="AM321" s="249"/>
      <c r="AN321" s="249"/>
      <c r="AO321" s="249"/>
    </row>
    <row r="322" spans="13:41" x14ac:dyDescent="0.35">
      <c r="M322" s="250">
        <v>2558</v>
      </c>
      <c r="N322" s="251" t="str">
        <f t="shared" si="43"/>
        <v/>
      </c>
      <c r="O322" s="251" t="str">
        <f t="shared" si="44"/>
        <v/>
      </c>
      <c r="P322" s="251" t="str">
        <f t="shared" si="45"/>
        <v/>
      </c>
      <c r="Q322" s="251" t="str">
        <f t="shared" si="46"/>
        <v/>
      </c>
      <c r="R322" s="251" t="str">
        <f t="shared" si="47"/>
        <v/>
      </c>
      <c r="S322" s="252" t="str">
        <f t="shared" si="48"/>
        <v/>
      </c>
      <c r="T322" s="253"/>
      <c r="U322" s="287">
        <v>0.20699999999999999</v>
      </c>
      <c r="V322" s="287">
        <v>0.20200000000000001</v>
      </c>
      <c r="W322" s="287">
        <v>0.186</v>
      </c>
      <c r="X322" s="287">
        <v>0.17</v>
      </c>
      <c r="Y322" s="287">
        <v>0.155</v>
      </c>
      <c r="Z322" s="287">
        <v>0.14699999999999999</v>
      </c>
      <c r="AA322" s="249"/>
      <c r="AB322" s="288"/>
      <c r="AC322" s="288"/>
      <c r="AD322" s="288"/>
      <c r="AE322" s="288"/>
      <c r="AF322" s="288"/>
      <c r="AG322" s="288"/>
      <c r="AH322" s="249"/>
      <c r="AI322" s="249"/>
      <c r="AJ322" s="249"/>
      <c r="AK322" s="249"/>
      <c r="AL322" s="249"/>
      <c r="AM322" s="249"/>
      <c r="AN322" s="249"/>
      <c r="AO322" s="249"/>
    </row>
    <row r="323" spans="13:41" x14ac:dyDescent="0.35">
      <c r="M323" s="250">
        <v>2792</v>
      </c>
      <c r="N323" s="251" t="str">
        <f t="shared" si="43"/>
        <v/>
      </c>
      <c r="O323" s="251" t="str">
        <f t="shared" si="44"/>
        <v/>
      </c>
      <c r="P323" s="251" t="str">
        <f t="shared" si="45"/>
        <v/>
      </c>
      <c r="Q323" s="251" t="str">
        <f t="shared" si="46"/>
        <v/>
      </c>
      <c r="R323" s="251" t="str">
        <f t="shared" si="47"/>
        <v/>
      </c>
      <c r="S323" s="252" t="str">
        <f t="shared" si="48"/>
        <v/>
      </c>
      <c r="T323" s="253"/>
      <c r="U323" s="287">
        <v>0.216</v>
      </c>
      <c r="V323" s="287">
        <v>0.21</v>
      </c>
      <c r="W323" s="287">
        <v>0.19500000000000001</v>
      </c>
      <c r="X323" s="287">
        <v>0.17899999999999999</v>
      </c>
      <c r="Y323" s="287">
        <v>0.16200000000000001</v>
      </c>
      <c r="Z323" s="287">
        <v>0.155</v>
      </c>
      <c r="AA323" s="249"/>
      <c r="AB323" s="288"/>
      <c r="AC323" s="288"/>
      <c r="AD323" s="288"/>
      <c r="AE323" s="288"/>
      <c r="AF323" s="288"/>
      <c r="AG323" s="288"/>
      <c r="AH323" s="249"/>
      <c r="AI323" s="249"/>
      <c r="AJ323" s="249"/>
      <c r="AK323" s="249"/>
      <c r="AL323" s="249"/>
      <c r="AM323" s="249"/>
      <c r="AN323" s="249"/>
      <c r="AO323" s="249"/>
    </row>
    <row r="324" spans="13:41" x14ac:dyDescent="0.35">
      <c r="M324" s="250">
        <v>3132</v>
      </c>
      <c r="N324" s="251" t="str">
        <f t="shared" si="43"/>
        <v/>
      </c>
      <c r="O324" s="251" t="str">
        <f t="shared" si="44"/>
        <v/>
      </c>
      <c r="P324" s="251" t="str">
        <f t="shared" si="45"/>
        <v/>
      </c>
      <c r="Q324" s="251" t="str">
        <f t="shared" si="46"/>
        <v/>
      </c>
      <c r="R324" s="251" t="str">
        <f t="shared" si="47"/>
        <v/>
      </c>
      <c r="S324" s="252" t="str">
        <f t="shared" si="48"/>
        <v/>
      </c>
      <c r="T324" s="253"/>
      <c r="U324" s="287">
        <v>0.249</v>
      </c>
      <c r="V324" s="287">
        <v>0.24399999999999999</v>
      </c>
      <c r="W324" s="287">
        <v>0.22600000000000001</v>
      </c>
      <c r="X324" s="287">
        <v>0.20799999999999999</v>
      </c>
      <c r="Y324" s="287">
        <v>0.19</v>
      </c>
      <c r="Z324" s="287">
        <v>0.18099999999999999</v>
      </c>
      <c r="AA324" s="249"/>
      <c r="AB324" s="288"/>
      <c r="AC324" s="288"/>
      <c r="AD324" s="288"/>
      <c r="AE324" s="288"/>
      <c r="AF324" s="288"/>
      <c r="AG324" s="288"/>
      <c r="AH324" s="249"/>
      <c r="AI324" s="249"/>
      <c r="AJ324" s="249"/>
      <c r="AK324" s="249"/>
      <c r="AL324" s="249"/>
      <c r="AM324" s="249"/>
      <c r="AN324" s="249"/>
      <c r="AO324" s="249"/>
    </row>
    <row r="325" spans="13:41" x14ac:dyDescent="0.35">
      <c r="M325" s="250">
        <v>3566</v>
      </c>
      <c r="N325" s="251" t="str">
        <f t="shared" si="43"/>
        <v/>
      </c>
      <c r="O325" s="251" t="str">
        <f t="shared" si="44"/>
        <v/>
      </c>
      <c r="P325" s="251" t="str">
        <f t="shared" si="45"/>
        <v/>
      </c>
      <c r="Q325" s="251" t="str">
        <f t="shared" si="46"/>
        <v/>
      </c>
      <c r="R325" s="251" t="str">
        <f t="shared" si="47"/>
        <v/>
      </c>
      <c r="S325" s="252" t="str">
        <f t="shared" si="48"/>
        <v/>
      </c>
      <c r="T325" s="253"/>
      <c r="U325" s="287">
        <v>0.26400000000000001</v>
      </c>
      <c r="V325" s="287">
        <v>0.26100000000000001</v>
      </c>
      <c r="W325" s="287">
        <v>0.247</v>
      </c>
      <c r="X325" s="287">
        <v>0.23300000000000001</v>
      </c>
      <c r="Y325" s="287">
        <v>0.22700000000000001</v>
      </c>
      <c r="Z325" s="287">
        <v>0.21199999999999999</v>
      </c>
      <c r="AA325" s="249"/>
      <c r="AB325" s="288"/>
      <c r="AC325" s="288"/>
      <c r="AD325" s="288"/>
      <c r="AE325" s="288"/>
      <c r="AF325" s="288"/>
      <c r="AG325" s="288"/>
      <c r="AH325" s="249"/>
      <c r="AI325" s="249"/>
      <c r="AJ325" s="249"/>
      <c r="AK325" s="249"/>
      <c r="AL325" s="249"/>
      <c r="AM325" s="249"/>
      <c r="AN325" s="249"/>
      <c r="AO325" s="249"/>
    </row>
    <row r="326" spans="13:41" x14ac:dyDescent="0.35">
      <c r="M326" s="250">
        <v>4156</v>
      </c>
      <c r="N326" s="251" t="str">
        <f t="shared" si="43"/>
        <v/>
      </c>
      <c r="O326" s="251" t="str">
        <f t="shared" si="44"/>
        <v/>
      </c>
      <c r="P326" s="251" t="str">
        <f t="shared" si="45"/>
        <v/>
      </c>
      <c r="Q326" s="251" t="str">
        <f t="shared" si="46"/>
        <v/>
      </c>
      <c r="R326" s="251" t="str">
        <f t="shared" si="47"/>
        <v/>
      </c>
      <c r="S326" s="252" t="str">
        <f t="shared" si="48"/>
        <v/>
      </c>
      <c r="T326" s="253"/>
      <c r="U326" s="287">
        <v>0.27400000000000002</v>
      </c>
      <c r="V326" s="287">
        <v>0.27200000000000002</v>
      </c>
      <c r="W326" s="287">
        <v>0.25600000000000001</v>
      </c>
      <c r="X326" s="287">
        <v>0.24199999999999999</v>
      </c>
      <c r="Y326" s="287">
        <v>0.23599999999999999</v>
      </c>
      <c r="Z326" s="287">
        <v>0.23100000000000001</v>
      </c>
      <c r="AA326" s="249"/>
      <c r="AB326" s="288"/>
      <c r="AC326" s="288"/>
      <c r="AD326" s="288"/>
      <c r="AE326" s="288"/>
      <c r="AF326" s="288"/>
      <c r="AG326" s="288"/>
      <c r="AH326" s="249"/>
      <c r="AI326" s="249"/>
      <c r="AJ326" s="249"/>
      <c r="AK326" s="249"/>
      <c r="AL326" s="249"/>
      <c r="AM326" s="249"/>
      <c r="AN326" s="249"/>
      <c r="AO326" s="249"/>
    </row>
    <row r="327" spans="13:41" x14ac:dyDescent="0.35">
      <c r="M327" s="250">
        <v>4692</v>
      </c>
      <c r="N327" s="251" t="str">
        <f t="shared" si="43"/>
        <v/>
      </c>
      <c r="O327" s="251" t="str">
        <f t="shared" si="44"/>
        <v/>
      </c>
      <c r="P327" s="251" t="str">
        <f t="shared" si="45"/>
        <v/>
      </c>
      <c r="Q327" s="251" t="str">
        <f t="shared" si="46"/>
        <v/>
      </c>
      <c r="R327" s="251" t="str">
        <f t="shared" si="47"/>
        <v/>
      </c>
      <c r="S327" s="252" t="str">
        <f t="shared" si="48"/>
        <v/>
      </c>
      <c r="T327" s="253"/>
      <c r="U327" s="287">
        <v>0.28999999999999998</v>
      </c>
      <c r="V327" s="287">
        <v>0.28599999999999998</v>
      </c>
      <c r="W327" s="287">
        <v>0.27100000000000002</v>
      </c>
      <c r="X327" s="287">
        <v>0.255</v>
      </c>
      <c r="Y327" s="287">
        <v>0.249</v>
      </c>
      <c r="Z327" s="287">
        <v>0.245</v>
      </c>
      <c r="AA327" s="249"/>
      <c r="AB327" s="288"/>
      <c r="AC327" s="288"/>
      <c r="AD327" s="288"/>
      <c r="AE327" s="288"/>
      <c r="AF327" s="288"/>
      <c r="AG327" s="288"/>
      <c r="AH327" s="249"/>
      <c r="AI327" s="249"/>
      <c r="AJ327" s="249"/>
      <c r="AK327" s="249"/>
      <c r="AL327" s="249"/>
      <c r="AM327" s="249"/>
      <c r="AN327" s="249"/>
      <c r="AO327" s="249"/>
    </row>
    <row r="328" spans="13:41" x14ac:dyDescent="0.35">
      <c r="M328" s="250">
        <v>5241</v>
      </c>
      <c r="N328" s="251" t="str">
        <f t="shared" si="43"/>
        <v/>
      </c>
      <c r="O328" s="251" t="str">
        <f t="shared" si="44"/>
        <v/>
      </c>
      <c r="P328" s="251" t="str">
        <f t="shared" si="45"/>
        <v/>
      </c>
      <c r="Q328" s="251" t="str">
        <f t="shared" si="46"/>
        <v/>
      </c>
      <c r="R328" s="251" t="str">
        <f t="shared" si="47"/>
        <v/>
      </c>
      <c r="S328" s="252" t="str">
        <f t="shared" si="48"/>
        <v/>
      </c>
      <c r="T328" s="253"/>
      <c r="U328" s="287">
        <v>0.29799999999999999</v>
      </c>
      <c r="V328" s="287">
        <v>0.29299999999999998</v>
      </c>
      <c r="W328" s="287">
        <v>0.28899999999999998</v>
      </c>
      <c r="X328" s="287">
        <v>0.26700000000000002</v>
      </c>
      <c r="Y328" s="287">
        <v>0.25800000000000001</v>
      </c>
      <c r="Z328" s="287">
        <v>0.253</v>
      </c>
      <c r="AA328" s="249"/>
      <c r="AB328" s="288"/>
      <c r="AC328" s="288"/>
      <c r="AD328" s="288"/>
      <c r="AE328" s="288"/>
      <c r="AF328" s="288"/>
      <c r="AG328" s="288"/>
      <c r="AH328" s="249"/>
      <c r="AI328" s="249"/>
      <c r="AJ328" s="249"/>
      <c r="AK328" s="249"/>
      <c r="AL328" s="249"/>
      <c r="AM328" s="249"/>
      <c r="AN328" s="249"/>
      <c r="AO328" s="249"/>
    </row>
    <row r="329" spans="13:41" x14ac:dyDescent="0.35">
      <c r="M329" s="250">
        <v>5933</v>
      </c>
      <c r="N329" s="251" t="str">
        <f t="shared" si="43"/>
        <v/>
      </c>
      <c r="O329" s="251" t="str">
        <f t="shared" si="44"/>
        <v/>
      </c>
      <c r="P329" s="251" t="str">
        <f t="shared" si="45"/>
        <v/>
      </c>
      <c r="Q329" s="251" t="str">
        <f t="shared" si="46"/>
        <v/>
      </c>
      <c r="R329" s="251" t="str">
        <f t="shared" si="47"/>
        <v/>
      </c>
      <c r="S329" s="252" t="str">
        <f t="shared" si="48"/>
        <v/>
      </c>
      <c r="T329" s="253"/>
      <c r="U329" s="287">
        <v>0.307</v>
      </c>
      <c r="V329" s="287">
        <v>0.30299999999999999</v>
      </c>
      <c r="W329" s="287">
        <v>0.29699999999999999</v>
      </c>
      <c r="X329" s="287">
        <v>0.27500000000000002</v>
      </c>
      <c r="Y329" s="287">
        <v>0.27</v>
      </c>
      <c r="Z329" s="287">
        <v>0.26200000000000001</v>
      </c>
      <c r="AA329" s="249"/>
      <c r="AB329" s="288"/>
      <c r="AC329" s="288"/>
      <c r="AD329" s="288"/>
      <c r="AE329" s="288"/>
      <c r="AF329" s="288"/>
      <c r="AG329" s="288"/>
      <c r="AH329" s="249"/>
      <c r="AI329" s="249"/>
      <c r="AJ329" s="249"/>
      <c r="AK329" s="249"/>
      <c r="AL329" s="249"/>
      <c r="AM329" s="249"/>
      <c r="AN329" s="249"/>
      <c r="AO329" s="249"/>
    </row>
    <row r="330" spans="13:41" x14ac:dyDescent="0.35">
      <c r="M330" s="250">
        <v>6788</v>
      </c>
      <c r="N330" s="251" t="str">
        <f t="shared" si="43"/>
        <v/>
      </c>
      <c r="O330" s="251" t="str">
        <f t="shared" si="44"/>
        <v/>
      </c>
      <c r="P330" s="251" t="str">
        <f t="shared" si="45"/>
        <v/>
      </c>
      <c r="Q330" s="251" t="str">
        <f t="shared" si="46"/>
        <v/>
      </c>
      <c r="R330" s="251" t="str">
        <f t="shared" si="47"/>
        <v/>
      </c>
      <c r="S330" s="252" t="str">
        <f t="shared" si="48"/>
        <v/>
      </c>
      <c r="T330" s="253"/>
      <c r="U330" s="287">
        <v>0.34899999999999998</v>
      </c>
      <c r="V330" s="287">
        <v>0.34599999999999997</v>
      </c>
      <c r="W330" s="287">
        <v>0.33800000000000002</v>
      </c>
      <c r="X330" s="287">
        <v>0.31900000000000001</v>
      </c>
      <c r="Y330" s="287">
        <v>0.315</v>
      </c>
      <c r="Z330" s="287">
        <v>0.312</v>
      </c>
      <c r="AA330" s="249"/>
      <c r="AB330" s="288"/>
      <c r="AC330" s="288"/>
      <c r="AD330" s="288"/>
      <c r="AE330" s="288"/>
      <c r="AF330" s="288"/>
      <c r="AG330" s="288"/>
      <c r="AH330" s="249"/>
      <c r="AI330" s="249"/>
      <c r="AJ330" s="249"/>
      <c r="AK330" s="249"/>
      <c r="AL330" s="249"/>
      <c r="AM330" s="249"/>
      <c r="AN330" s="249"/>
      <c r="AO330" s="249"/>
    </row>
    <row r="331" spans="13:41" x14ac:dyDescent="0.35">
      <c r="M331" s="250">
        <v>8011</v>
      </c>
      <c r="N331" s="251" t="str">
        <f t="shared" si="43"/>
        <v/>
      </c>
      <c r="O331" s="251" t="str">
        <f t="shared" si="44"/>
        <v/>
      </c>
      <c r="P331" s="251" t="str">
        <f t="shared" si="45"/>
        <v/>
      </c>
      <c r="Q331" s="251" t="str">
        <f t="shared" si="46"/>
        <v/>
      </c>
      <c r="R331" s="251" t="str">
        <f t="shared" si="47"/>
        <v/>
      </c>
      <c r="S331" s="252" t="str">
        <f t="shared" si="48"/>
        <v/>
      </c>
      <c r="T331" s="253"/>
      <c r="U331" s="287">
        <v>0.35899999999999999</v>
      </c>
      <c r="V331" s="287">
        <v>0.35499999999999998</v>
      </c>
      <c r="W331" s="287">
        <v>0.35099999999999998</v>
      </c>
      <c r="X331" s="287">
        <v>0.33900000000000002</v>
      </c>
      <c r="Y331" s="287">
        <v>0.32500000000000001</v>
      </c>
      <c r="Z331" s="287">
        <v>0.32100000000000001</v>
      </c>
      <c r="AA331" s="249"/>
      <c r="AB331" s="288"/>
      <c r="AC331" s="288"/>
      <c r="AD331" s="288"/>
      <c r="AE331" s="288"/>
      <c r="AF331" s="288"/>
      <c r="AG331" s="288"/>
      <c r="AH331" s="249"/>
      <c r="AI331" s="249"/>
      <c r="AJ331" s="249"/>
      <c r="AK331" s="249"/>
      <c r="AL331" s="249"/>
      <c r="AM331" s="249"/>
      <c r="AN331" s="249"/>
      <c r="AO331" s="249"/>
    </row>
    <row r="332" spans="13:41" x14ac:dyDescent="0.35">
      <c r="M332" s="250">
        <v>9647</v>
      </c>
      <c r="N332" s="251" t="str">
        <f t="shared" si="43"/>
        <v/>
      </c>
      <c r="O332" s="251" t="str">
        <f t="shared" si="44"/>
        <v/>
      </c>
      <c r="P332" s="251" t="str">
        <f t="shared" si="45"/>
        <v/>
      </c>
      <c r="Q332" s="251" t="str">
        <f t="shared" si="46"/>
        <v/>
      </c>
      <c r="R332" s="251" t="str">
        <f t="shared" si="47"/>
        <v/>
      </c>
      <c r="S332" s="252" t="str">
        <f t="shared" si="48"/>
        <v/>
      </c>
      <c r="T332" s="253"/>
      <c r="U332" s="287">
        <v>0.378</v>
      </c>
      <c r="V332" s="287">
        <v>0.374</v>
      </c>
      <c r="W332" s="287">
        <v>0.37</v>
      </c>
      <c r="X332" s="287">
        <v>0.35799999999999998</v>
      </c>
      <c r="Y332" s="287">
        <v>0.35399999999999998</v>
      </c>
      <c r="Z332" s="287">
        <v>0.34100000000000003</v>
      </c>
      <c r="AA332" s="249"/>
      <c r="AB332" s="288"/>
      <c r="AC332" s="288"/>
      <c r="AD332" s="288"/>
      <c r="AE332" s="288"/>
      <c r="AF332" s="288"/>
      <c r="AG332" s="288"/>
      <c r="AH332" s="249"/>
      <c r="AI332" s="249"/>
      <c r="AJ332" s="249"/>
      <c r="AK332" s="249"/>
      <c r="AL332" s="249"/>
      <c r="AM332" s="249"/>
      <c r="AN332" s="249"/>
      <c r="AO332" s="249"/>
    </row>
    <row r="333" spans="13:41" x14ac:dyDescent="0.35">
      <c r="M333" s="250">
        <v>11384</v>
      </c>
      <c r="N333" s="251" t="str">
        <f t="shared" si="43"/>
        <v/>
      </c>
      <c r="O333" s="251" t="str">
        <f t="shared" si="44"/>
        <v/>
      </c>
      <c r="P333" s="251" t="str">
        <f t="shared" si="45"/>
        <v/>
      </c>
      <c r="Q333" s="251" t="str">
        <f t="shared" si="46"/>
        <v/>
      </c>
      <c r="R333" s="251" t="str">
        <f t="shared" si="47"/>
        <v/>
      </c>
      <c r="S333" s="252" t="str">
        <f t="shared" si="48"/>
        <v/>
      </c>
      <c r="T333" s="253"/>
      <c r="U333" s="287">
        <v>0.38800000000000001</v>
      </c>
      <c r="V333" s="287">
        <v>0.38400000000000001</v>
      </c>
      <c r="W333" s="287">
        <v>0.38</v>
      </c>
      <c r="X333" s="287">
        <v>0.371</v>
      </c>
      <c r="Y333" s="287">
        <v>0.36299999999999999</v>
      </c>
      <c r="Z333" s="287">
        <v>0.35</v>
      </c>
      <c r="AA333" s="249"/>
      <c r="AB333" s="288"/>
      <c r="AC333" s="288"/>
      <c r="AD333" s="288"/>
      <c r="AE333" s="288"/>
      <c r="AF333" s="288"/>
      <c r="AG333" s="288"/>
      <c r="AH333" s="249"/>
      <c r="AI333" s="249"/>
      <c r="AJ333" s="249"/>
      <c r="AK333" s="249"/>
      <c r="AL333" s="249"/>
      <c r="AM333" s="249"/>
      <c r="AN333" s="249"/>
      <c r="AO333" s="249"/>
    </row>
    <row r="334" spans="13:41" x14ac:dyDescent="0.35">
      <c r="M334" s="250">
        <v>19024</v>
      </c>
      <c r="N334" s="251" t="str">
        <f t="shared" si="43"/>
        <v/>
      </c>
      <c r="O334" s="251" t="str">
        <f t="shared" si="44"/>
        <v/>
      </c>
      <c r="P334" s="251" t="str">
        <f t="shared" si="45"/>
        <v/>
      </c>
      <c r="Q334" s="251" t="str">
        <f t="shared" si="46"/>
        <v/>
      </c>
      <c r="R334" s="251" t="str">
        <f t="shared" si="47"/>
        <v/>
      </c>
      <c r="S334" s="252" t="str">
        <f t="shared" si="48"/>
        <v/>
      </c>
      <c r="T334" s="253"/>
      <c r="U334" s="287">
        <v>0.39800000000000002</v>
      </c>
      <c r="V334" s="287">
        <v>0.39400000000000002</v>
      </c>
      <c r="W334" s="287">
        <v>0.39</v>
      </c>
      <c r="X334" s="287">
        <v>0.38100000000000001</v>
      </c>
      <c r="Y334" s="287">
        <v>0.377</v>
      </c>
      <c r="Z334" s="287">
        <v>0.36</v>
      </c>
      <c r="AA334" s="249"/>
      <c r="AB334" s="288"/>
      <c r="AC334" s="288"/>
      <c r="AD334" s="288"/>
      <c r="AE334" s="288"/>
      <c r="AF334" s="288"/>
      <c r="AG334" s="288"/>
      <c r="AH334" s="249"/>
      <c r="AI334" s="249"/>
      <c r="AJ334" s="249"/>
      <c r="AK334" s="249"/>
      <c r="AL334" s="249"/>
      <c r="AM334" s="249"/>
      <c r="AN334" s="249"/>
      <c r="AO334" s="249"/>
    </row>
    <row r="335" spans="13:41" x14ac:dyDescent="0.35">
      <c r="M335" s="250">
        <v>20403</v>
      </c>
      <c r="N335" s="251" t="str">
        <f t="shared" si="43"/>
        <v/>
      </c>
      <c r="O335" s="251" t="str">
        <f t="shared" si="44"/>
        <v/>
      </c>
      <c r="P335" s="251" t="str">
        <f t="shared" si="45"/>
        <v/>
      </c>
      <c r="Q335" s="251" t="str">
        <f t="shared" si="46"/>
        <v/>
      </c>
      <c r="R335" s="251" t="str">
        <f t="shared" si="47"/>
        <v/>
      </c>
      <c r="S335" s="252" t="str">
        <f t="shared" si="48"/>
        <v/>
      </c>
      <c r="T335" s="253"/>
      <c r="U335" s="287">
        <v>0.40799999999999997</v>
      </c>
      <c r="V335" s="287">
        <v>0.40400000000000003</v>
      </c>
      <c r="W335" s="287">
        <v>0.4</v>
      </c>
      <c r="X335" s="287">
        <v>0.39100000000000001</v>
      </c>
      <c r="Y335" s="287">
        <v>0.38700000000000001</v>
      </c>
      <c r="Z335" s="287">
        <v>0.36899999999999999</v>
      </c>
      <c r="AA335" s="249"/>
      <c r="AB335" s="288"/>
      <c r="AC335" s="288"/>
      <c r="AD335" s="288"/>
      <c r="AE335" s="288"/>
      <c r="AF335" s="288"/>
      <c r="AG335" s="288"/>
      <c r="AH335" s="249"/>
      <c r="AI335" s="249"/>
      <c r="AJ335" s="249"/>
      <c r="AK335" s="249"/>
      <c r="AL335" s="249"/>
      <c r="AM335" s="249"/>
      <c r="AN335" s="249"/>
      <c r="AO335" s="249"/>
    </row>
    <row r="336" spans="13:41" x14ac:dyDescent="0.35">
      <c r="M336" s="250">
        <v>22954</v>
      </c>
      <c r="N336" s="251" t="str">
        <f t="shared" si="43"/>
        <v/>
      </c>
      <c r="O336" s="251" t="str">
        <f t="shared" si="44"/>
        <v/>
      </c>
      <c r="P336" s="251" t="str">
        <f t="shared" si="45"/>
        <v/>
      </c>
      <c r="Q336" s="251" t="str">
        <f t="shared" si="46"/>
        <v/>
      </c>
      <c r="R336" s="251" t="str">
        <f t="shared" si="47"/>
        <v/>
      </c>
      <c r="S336" s="252" t="str">
        <f t="shared" si="48"/>
        <v/>
      </c>
      <c r="T336" s="253"/>
      <c r="U336" s="287">
        <v>0.41499999999999998</v>
      </c>
      <c r="V336" s="287">
        <v>0.41299999999999998</v>
      </c>
      <c r="W336" s="287">
        <v>0.41</v>
      </c>
      <c r="X336" s="287">
        <v>0.40100000000000002</v>
      </c>
      <c r="Y336" s="287">
        <v>0.39700000000000002</v>
      </c>
      <c r="Z336" s="287">
        <v>0.38100000000000001</v>
      </c>
      <c r="AA336" s="249"/>
      <c r="AB336" s="288"/>
      <c r="AC336" s="288"/>
      <c r="AD336" s="288"/>
      <c r="AE336" s="288"/>
      <c r="AF336" s="288"/>
      <c r="AG336" s="288"/>
      <c r="AH336" s="249"/>
      <c r="AI336" s="249"/>
      <c r="AJ336" s="249"/>
      <c r="AK336" s="249"/>
      <c r="AL336" s="249"/>
      <c r="AM336" s="249"/>
      <c r="AN336" s="249"/>
      <c r="AO336" s="249"/>
    </row>
    <row r="337" spans="13:41" x14ac:dyDescent="0.35">
      <c r="M337" s="250">
        <v>25504</v>
      </c>
      <c r="N337" s="251" t="str">
        <f t="shared" si="43"/>
        <v/>
      </c>
      <c r="O337" s="251" t="str">
        <f t="shared" si="44"/>
        <v/>
      </c>
      <c r="P337" s="251" t="str">
        <f t="shared" si="45"/>
        <v/>
      </c>
      <c r="Q337" s="251" t="str">
        <f t="shared" si="46"/>
        <v/>
      </c>
      <c r="R337" s="251" t="str">
        <f t="shared" si="47"/>
        <v/>
      </c>
      <c r="S337" s="252" t="str">
        <f t="shared" si="48"/>
        <v/>
      </c>
      <c r="T337" s="253"/>
      <c r="U337" s="287">
        <v>0.42499999999999999</v>
      </c>
      <c r="V337" s="287">
        <v>0.42299999999999999</v>
      </c>
      <c r="W337" s="287">
        <v>0.41899999999999998</v>
      </c>
      <c r="X337" s="287">
        <v>0.41</v>
      </c>
      <c r="Y337" s="287">
        <v>0.40699999999999997</v>
      </c>
      <c r="Z337" s="287">
        <v>0.39300000000000002</v>
      </c>
      <c r="AA337" s="249"/>
      <c r="AB337" s="288"/>
      <c r="AC337" s="288"/>
      <c r="AD337" s="288"/>
      <c r="AE337" s="288"/>
      <c r="AF337" s="288"/>
      <c r="AG337" s="288"/>
      <c r="AH337" s="249"/>
      <c r="AI337" s="249"/>
      <c r="AJ337" s="249"/>
      <c r="AK337" s="249"/>
      <c r="AL337" s="249"/>
      <c r="AM337" s="249"/>
      <c r="AN337" s="249"/>
      <c r="AO337" s="249"/>
    </row>
    <row r="338" spans="13:41" x14ac:dyDescent="0.35">
      <c r="M338" s="250">
        <v>25504</v>
      </c>
      <c r="N338" s="251" t="str">
        <f t="shared" si="43"/>
        <v/>
      </c>
      <c r="O338" s="251" t="str">
        <f t="shared" si="44"/>
        <v/>
      </c>
      <c r="P338" s="251" t="str">
        <f t="shared" si="45"/>
        <v/>
      </c>
      <c r="Q338" s="251" t="str">
        <f t="shared" si="46"/>
        <v/>
      </c>
      <c r="R338" s="251" t="str">
        <f t="shared" si="47"/>
        <v/>
      </c>
      <c r="S338" s="252" t="str">
        <f t="shared" si="48"/>
        <v/>
      </c>
      <c r="T338" s="253"/>
      <c r="U338" s="287">
        <v>0.434</v>
      </c>
      <c r="V338" s="287">
        <v>0.432</v>
      </c>
      <c r="W338" s="287">
        <v>0.42899999999999999</v>
      </c>
      <c r="X338" s="287">
        <v>0.42</v>
      </c>
      <c r="Y338" s="287">
        <v>0.41599999999999998</v>
      </c>
      <c r="Z338" s="287">
        <v>0.40300000000000002</v>
      </c>
      <c r="AA338" s="249"/>
      <c r="AB338" s="288"/>
      <c r="AC338" s="288"/>
      <c r="AD338" s="288"/>
      <c r="AE338" s="288"/>
      <c r="AF338" s="288"/>
      <c r="AG338" s="288"/>
      <c r="AH338" s="249"/>
      <c r="AI338" s="249"/>
      <c r="AJ338" s="249"/>
      <c r="AK338" s="249"/>
      <c r="AL338" s="249"/>
      <c r="AM338" s="249"/>
      <c r="AN338" s="249"/>
      <c r="AO338" s="249"/>
    </row>
    <row r="339" spans="13:41" x14ac:dyDescent="0.35">
      <c r="M339" s="250">
        <v>25504</v>
      </c>
      <c r="N339" s="251" t="str">
        <f t="shared" si="43"/>
        <v/>
      </c>
      <c r="O339" s="251" t="str">
        <f t="shared" si="44"/>
        <v/>
      </c>
      <c r="P339" s="251" t="str">
        <f t="shared" si="45"/>
        <v/>
      </c>
      <c r="Q339" s="251" t="str">
        <f t="shared" si="46"/>
        <v/>
      </c>
      <c r="R339" s="251" t="str">
        <f t="shared" si="47"/>
        <v/>
      </c>
      <c r="S339" s="252" t="str">
        <f t="shared" si="48"/>
        <v/>
      </c>
      <c r="T339" s="253"/>
      <c r="U339" s="287">
        <v>0.434</v>
      </c>
      <c r="V339" s="287">
        <v>0.432</v>
      </c>
      <c r="W339" s="287">
        <v>0.42899999999999999</v>
      </c>
      <c r="X339" s="287">
        <v>0.42</v>
      </c>
      <c r="Y339" s="287">
        <v>0.42299999999999999</v>
      </c>
      <c r="Z339" s="287">
        <v>0.42</v>
      </c>
      <c r="AA339" s="249"/>
      <c r="AB339" s="288"/>
      <c r="AC339" s="288"/>
      <c r="AD339" s="288"/>
      <c r="AE339" s="288"/>
      <c r="AF339" s="288"/>
      <c r="AG339" s="288"/>
      <c r="AH339" s="249"/>
      <c r="AI339" s="249"/>
      <c r="AJ339" s="249"/>
      <c r="AK339" s="249"/>
      <c r="AL339" s="249"/>
      <c r="AM339" s="249"/>
      <c r="AN339" s="249"/>
      <c r="AO339" s="249"/>
    </row>
    <row r="340" spans="13:41" x14ac:dyDescent="0.35">
      <c r="M340" s="250">
        <v>25504</v>
      </c>
      <c r="N340" s="251" t="str">
        <f t="shared" si="43"/>
        <v/>
      </c>
      <c r="O340" s="251" t="str">
        <f t="shared" si="44"/>
        <v/>
      </c>
      <c r="P340" s="251" t="str">
        <f t="shared" si="45"/>
        <v/>
      </c>
      <c r="Q340" s="251" t="str">
        <f t="shared" si="46"/>
        <v/>
      </c>
      <c r="R340" s="251" t="str">
        <f t="shared" si="47"/>
        <v/>
      </c>
      <c r="S340" s="252" t="str">
        <f t="shared" si="48"/>
        <v/>
      </c>
      <c r="T340" s="253"/>
      <c r="U340" s="287">
        <v>0.434</v>
      </c>
      <c r="V340" s="287">
        <v>0.432</v>
      </c>
      <c r="W340" s="287">
        <v>0.42899999999999999</v>
      </c>
      <c r="X340" s="287">
        <v>0.42</v>
      </c>
      <c r="Y340" s="287">
        <v>0.42299999999999999</v>
      </c>
      <c r="Z340" s="287">
        <v>0.42</v>
      </c>
      <c r="AA340" s="249"/>
      <c r="AB340" s="288"/>
      <c r="AC340" s="288"/>
      <c r="AD340" s="288"/>
      <c r="AE340" s="288"/>
      <c r="AF340" s="288"/>
      <c r="AG340" s="288"/>
      <c r="AH340" s="249"/>
      <c r="AI340" s="249"/>
      <c r="AJ340" s="249"/>
      <c r="AK340" s="249"/>
      <c r="AL340" s="249"/>
      <c r="AM340" s="249"/>
      <c r="AN340" s="249"/>
      <c r="AO340" s="249"/>
    </row>
    <row r="341" spans="13:41" x14ac:dyDescent="0.35">
      <c r="M341" s="250">
        <v>25504</v>
      </c>
      <c r="N341" s="251" t="str">
        <f>IF($R$11&gt;=M340+0.01,U341,"")</f>
        <v/>
      </c>
      <c r="O341" s="251" t="str">
        <f>IF($R$11&gt;=M340,V341,"")</f>
        <v/>
      </c>
      <c r="P341" s="251" t="str">
        <f>IF($R$11&gt;=M340,W341,"")</f>
        <v/>
      </c>
      <c r="Q341" s="251" t="str">
        <f>IF($R$11&gt;=M340,X341,"")</f>
        <v/>
      </c>
      <c r="R341" s="252" t="str">
        <f>IF($R$11&gt;=M340,Y341,"")</f>
        <v/>
      </c>
      <c r="S341" s="251" t="str">
        <f>IF($R$11&gt;=M340,Z341,"")</f>
        <v/>
      </c>
      <c r="T341" s="253"/>
      <c r="U341" s="287">
        <v>0.434</v>
      </c>
      <c r="V341" s="287">
        <v>0.432</v>
      </c>
      <c r="W341" s="287">
        <v>0.42899999999999999</v>
      </c>
      <c r="X341" s="287">
        <v>0.42</v>
      </c>
      <c r="Y341" s="287">
        <v>0.42299999999999999</v>
      </c>
      <c r="Z341" s="290">
        <v>0.42</v>
      </c>
      <c r="AA341" s="249"/>
      <c r="AB341" s="288"/>
      <c r="AC341" s="288"/>
      <c r="AD341" s="288"/>
      <c r="AE341" s="288"/>
      <c r="AF341" s="288"/>
      <c r="AG341" s="288"/>
      <c r="AH341" s="249"/>
      <c r="AI341" s="249"/>
      <c r="AJ341" s="249"/>
      <c r="AK341" s="249"/>
      <c r="AL341" s="249"/>
      <c r="AM341" s="249"/>
      <c r="AN341" s="249"/>
      <c r="AO341" s="249"/>
    </row>
    <row r="342" spans="13:41" x14ac:dyDescent="0.35">
      <c r="M342" s="249"/>
      <c r="N342" s="280" t="str">
        <f>IF($A$15=3,IF($A$2=1,IF($I$2=0,SUM(N304:N341),""),""),"")</f>
        <v/>
      </c>
      <c r="O342" s="281" t="str">
        <f>IF($A$15=3,IF($A$2=1,IF($I$2=1,SUM(O304:O341),""),""),"")</f>
        <v/>
      </c>
      <c r="P342" s="281" t="str">
        <f>IF($A$15=3,IF($A$2=1,IF($I$2=2,SUM(P304:P341),""),""),"")</f>
        <v/>
      </c>
      <c r="Q342" s="281" t="str">
        <f>IF($A$15=3,IF($A$2=1,IF($I$2=3,SUM(Q304:Q341),""),""),"")</f>
        <v/>
      </c>
      <c r="R342" s="281" t="str">
        <f>IF($A$15=3,IF($A$2=1,IF($I$2=4,SUM(R304:R341),""),""),"")</f>
        <v/>
      </c>
      <c r="S342" s="282" t="str">
        <f>IF($A$15=3,IF($A$2=1,IF($I$2=5,SUM(S304:S341),""),""),"")</f>
        <v/>
      </c>
      <c r="T342" s="260">
        <f>SUM(N342:S342)</f>
        <v>0</v>
      </c>
      <c r="U342" s="253"/>
      <c r="V342" s="253"/>
      <c r="W342" s="253"/>
      <c r="X342" s="253"/>
      <c r="Y342" s="253"/>
      <c r="Z342" s="253"/>
      <c r="AA342" s="249"/>
      <c r="AB342" s="288"/>
      <c r="AC342" s="288"/>
      <c r="AD342" s="288"/>
      <c r="AE342" s="288"/>
      <c r="AF342" s="288"/>
      <c r="AG342" s="288"/>
      <c r="AH342" s="249"/>
      <c r="AI342" s="249"/>
      <c r="AJ342" s="249"/>
      <c r="AK342" s="249"/>
      <c r="AL342" s="249"/>
      <c r="AM342" s="249"/>
      <c r="AN342" s="249"/>
      <c r="AO342" s="249"/>
    </row>
    <row r="343" spans="13:41" x14ac:dyDescent="0.35">
      <c r="M343" s="249"/>
      <c r="N343" s="249"/>
      <c r="O343" s="249"/>
      <c r="P343" s="249"/>
      <c r="Q343" s="249"/>
      <c r="R343" s="249"/>
      <c r="S343" s="249"/>
      <c r="T343" s="253"/>
      <c r="U343" s="253"/>
      <c r="V343" s="253"/>
      <c r="W343" s="253"/>
      <c r="X343" s="253"/>
      <c r="Y343" s="253"/>
      <c r="Z343" s="253"/>
      <c r="AA343" s="249"/>
      <c r="AB343" s="249"/>
      <c r="AC343" s="249"/>
      <c r="AD343" s="249"/>
      <c r="AE343" s="249"/>
      <c r="AF343" s="249"/>
      <c r="AG343" s="249"/>
      <c r="AH343" s="249"/>
      <c r="AI343" s="249"/>
      <c r="AJ343" s="249"/>
      <c r="AK343" s="249"/>
      <c r="AL343" s="249"/>
      <c r="AM343" s="249"/>
      <c r="AN343" s="249"/>
      <c r="AO343" s="249"/>
    </row>
    <row r="344" spans="13:41" x14ac:dyDescent="0.35">
      <c r="M344" s="249"/>
      <c r="N344" s="249"/>
      <c r="O344" s="249"/>
      <c r="P344" s="249"/>
      <c r="Q344" s="249"/>
      <c r="R344" s="249"/>
      <c r="S344" s="249"/>
      <c r="T344" s="253"/>
      <c r="U344" s="253"/>
      <c r="V344" s="253"/>
      <c r="W344" s="253"/>
      <c r="X344" s="253"/>
      <c r="Y344" s="253"/>
      <c r="Z344" s="253"/>
      <c r="AA344" s="249"/>
      <c r="AB344" s="249"/>
      <c r="AC344" s="249"/>
      <c r="AD344" s="249"/>
      <c r="AE344" s="249"/>
      <c r="AF344" s="249"/>
      <c r="AG344" s="249"/>
      <c r="AH344" s="249"/>
      <c r="AI344" s="249"/>
      <c r="AJ344" s="249"/>
      <c r="AK344" s="249"/>
      <c r="AL344" s="249"/>
      <c r="AM344" s="249"/>
      <c r="AN344" s="249"/>
      <c r="AO344" s="249"/>
    </row>
    <row r="345" spans="13:41" x14ac:dyDescent="0.35">
      <c r="M345" s="249"/>
      <c r="N345" s="249"/>
      <c r="O345" s="249"/>
      <c r="P345" s="249"/>
      <c r="Q345" s="249"/>
      <c r="R345" s="249"/>
      <c r="S345" s="249"/>
      <c r="T345" s="253"/>
      <c r="U345" s="253"/>
      <c r="V345" s="253"/>
      <c r="W345" s="253"/>
      <c r="X345" s="253"/>
      <c r="Y345" s="253"/>
      <c r="Z345" s="253"/>
      <c r="AA345" s="249"/>
      <c r="AB345" s="249"/>
      <c r="AC345" s="249"/>
      <c r="AD345" s="249"/>
      <c r="AE345" s="249"/>
      <c r="AF345" s="249"/>
      <c r="AG345" s="249"/>
      <c r="AH345" s="249"/>
      <c r="AI345" s="249"/>
      <c r="AJ345" s="249"/>
      <c r="AK345" s="249"/>
      <c r="AL345" s="249"/>
      <c r="AM345" s="249"/>
      <c r="AN345" s="249"/>
      <c r="AO345" s="249"/>
    </row>
    <row r="346" spans="13:41" x14ac:dyDescent="0.35">
      <c r="M346" s="263" t="s">
        <v>214</v>
      </c>
      <c r="N346" s="284"/>
      <c r="O346" s="284" t="s">
        <v>257</v>
      </c>
      <c r="P346" s="284"/>
      <c r="Q346" s="284"/>
      <c r="R346" s="284"/>
      <c r="S346" s="285"/>
      <c r="T346" s="253"/>
      <c r="U346" s="286" t="str">
        <f>O346</f>
        <v>Tabelas de IRS de retenção na fonte referente a 2022 na Madeira</v>
      </c>
      <c r="V346" s="253"/>
      <c r="W346" s="253"/>
      <c r="X346" s="253"/>
      <c r="Y346" s="253"/>
      <c r="Z346" s="253"/>
      <c r="AA346" s="249"/>
      <c r="AB346" s="249"/>
      <c r="AC346" s="249"/>
      <c r="AD346" s="249"/>
      <c r="AE346" s="249"/>
      <c r="AF346" s="249"/>
      <c r="AG346" s="249"/>
      <c r="AH346" s="249"/>
      <c r="AI346" s="249"/>
      <c r="AJ346" s="249"/>
      <c r="AK346" s="249"/>
      <c r="AL346" s="249"/>
      <c r="AM346" s="249"/>
      <c r="AN346" s="249"/>
      <c r="AO346" s="249"/>
    </row>
    <row r="347" spans="13:41" x14ac:dyDescent="0.35">
      <c r="M347" s="285"/>
      <c r="N347" s="284"/>
      <c r="O347" s="284" t="s">
        <v>177</v>
      </c>
      <c r="P347" s="285"/>
      <c r="Q347" s="284"/>
      <c r="R347" s="284"/>
      <c r="S347" s="285"/>
      <c r="T347" s="253"/>
      <c r="U347" s="286" t="str">
        <f>O347</f>
        <v>T A B E L A  II - TRABALHO DEPENDENTE</v>
      </c>
      <c r="V347" s="253"/>
      <c r="W347" s="253"/>
      <c r="X347" s="253"/>
      <c r="Y347" s="253"/>
      <c r="Z347" s="253"/>
      <c r="AA347" s="249"/>
      <c r="AB347" s="249"/>
      <c r="AC347" s="249"/>
      <c r="AD347" s="249"/>
      <c r="AE347" s="249"/>
      <c r="AF347" s="249"/>
      <c r="AG347" s="249"/>
      <c r="AH347" s="249"/>
      <c r="AI347" s="249"/>
      <c r="AJ347" s="249"/>
      <c r="AK347" s="249"/>
      <c r="AL347" s="249"/>
      <c r="AM347" s="249"/>
      <c r="AN347" s="249"/>
      <c r="AO347" s="249"/>
    </row>
    <row r="348" spans="13:41" x14ac:dyDescent="0.35">
      <c r="M348" s="284"/>
      <c r="N348" s="284"/>
      <c r="O348" s="284" t="s">
        <v>178</v>
      </c>
      <c r="P348" s="285"/>
      <c r="Q348" s="284"/>
      <c r="R348" s="284"/>
      <c r="S348" s="285"/>
      <c r="T348" s="253"/>
      <c r="U348" s="286" t="str">
        <f>O348</f>
        <v>CASADO UNICO TITULAR</v>
      </c>
      <c r="V348" s="253"/>
      <c r="W348" s="253"/>
      <c r="X348" s="253"/>
      <c r="Y348" s="253"/>
      <c r="Z348" s="253"/>
      <c r="AA348" s="249"/>
      <c r="AB348" s="249"/>
      <c r="AC348" s="249"/>
      <c r="AD348" s="249"/>
      <c r="AE348" s="249"/>
      <c r="AF348" s="249"/>
      <c r="AG348" s="249"/>
      <c r="AH348" s="249"/>
      <c r="AI348" s="249"/>
      <c r="AJ348" s="249"/>
      <c r="AK348" s="249"/>
      <c r="AL348" s="249"/>
      <c r="AM348" s="249"/>
      <c r="AN348" s="249"/>
      <c r="AO348" s="249"/>
    </row>
    <row r="349" spans="13:41" x14ac:dyDescent="0.35">
      <c r="M349" s="267" t="s">
        <v>154</v>
      </c>
      <c r="N349" s="268" t="s">
        <v>155</v>
      </c>
      <c r="O349" s="268" t="s">
        <v>156</v>
      </c>
      <c r="P349" s="268" t="s">
        <v>157</v>
      </c>
      <c r="Q349" s="268" t="s">
        <v>158</v>
      </c>
      <c r="R349" s="268" t="s">
        <v>159</v>
      </c>
      <c r="S349" s="268" t="s">
        <v>160</v>
      </c>
      <c r="T349" s="253"/>
      <c r="U349" s="269" t="str">
        <f t="shared" ref="U349:Z349" si="49">N349</f>
        <v>0 dep</v>
      </c>
      <c r="V349" s="269" t="str">
        <f t="shared" si="49"/>
        <v>1 dep</v>
      </c>
      <c r="W349" s="269" t="str">
        <f t="shared" si="49"/>
        <v>2 dep</v>
      </c>
      <c r="X349" s="269" t="str">
        <f t="shared" si="49"/>
        <v>3 dep</v>
      </c>
      <c r="Y349" s="269" t="str">
        <f t="shared" si="49"/>
        <v>4 dep</v>
      </c>
      <c r="Z349" s="269" t="str">
        <f t="shared" si="49"/>
        <v>5 dep. ou +</v>
      </c>
      <c r="AA349" s="249"/>
      <c r="AB349" s="249"/>
      <c r="AC349" s="249"/>
      <c r="AD349" s="249"/>
      <c r="AE349" s="249"/>
      <c r="AF349" s="249"/>
      <c r="AG349" s="249"/>
      <c r="AH349" s="249"/>
      <c r="AI349" s="249"/>
      <c r="AJ349" s="249"/>
      <c r="AK349" s="249"/>
      <c r="AL349" s="249"/>
      <c r="AM349" s="249"/>
      <c r="AN349" s="249"/>
      <c r="AO349" s="249"/>
    </row>
    <row r="350" spans="13:41" x14ac:dyDescent="0.35">
      <c r="M350" s="250">
        <v>725</v>
      </c>
      <c r="N350" s="251" t="str">
        <f>IF($R$11&lt;=M350,IF($R$11&gt;=0,0,""),"")</f>
        <v/>
      </c>
      <c r="O350" s="251" t="str">
        <f>IF($R$11&lt;=M350,IF($R$11&gt;=0,0,""),"")</f>
        <v/>
      </c>
      <c r="P350" s="251" t="str">
        <f>IF($R$11&lt;=M350,IF($R$11&gt;=0,0,""),"")</f>
        <v/>
      </c>
      <c r="Q350" s="251" t="str">
        <f>IF($R$11&lt;=M350,IF($R$11&gt;=0,0,""),"")</f>
        <v/>
      </c>
      <c r="R350" s="251" t="str">
        <f>IF($R$11&lt;=M350,IF($R$11&gt;=0,0,""),"")</f>
        <v/>
      </c>
      <c r="S350" s="251" t="str">
        <f>IF($R$11&lt;=M350,IF($R$11&gt;=0,0,""),"")</f>
        <v/>
      </c>
      <c r="T350" s="253"/>
      <c r="U350" s="254">
        <v>0</v>
      </c>
      <c r="V350" s="254">
        <v>0</v>
      </c>
      <c r="W350" s="254">
        <v>0</v>
      </c>
      <c r="X350" s="254">
        <v>0</v>
      </c>
      <c r="Y350" s="254">
        <v>0</v>
      </c>
      <c r="Z350" s="254">
        <v>0</v>
      </c>
      <c r="AA350" s="249"/>
      <c r="AB350" s="249"/>
      <c r="AC350" s="249"/>
      <c r="AD350" s="249"/>
      <c r="AE350" s="249"/>
      <c r="AF350" s="249"/>
      <c r="AG350" s="249"/>
      <c r="AH350" s="249"/>
      <c r="AI350" s="249"/>
      <c r="AJ350" s="249"/>
      <c r="AK350" s="249"/>
      <c r="AL350" s="249"/>
      <c r="AM350" s="249"/>
      <c r="AN350" s="249"/>
      <c r="AO350" s="249"/>
    </row>
    <row r="351" spans="13:41" x14ac:dyDescent="0.35">
      <c r="M351" s="250">
        <v>761</v>
      </c>
      <c r="N351" s="251" t="str">
        <f>IF($R$11&lt;=M351,IF($R$11&gt;=M350+0.01,U351,""),"")</f>
        <v/>
      </c>
      <c r="O351" s="251" t="str">
        <f>IF($R$11&lt;=M351,IF($R$11&gt;=M350+0.01,V351,""),"")</f>
        <v/>
      </c>
      <c r="P351" s="251" t="str">
        <f>IF($R$11&lt;=M351,IF($R$11&gt;=M350+0.01,W351,""),"")</f>
        <v/>
      </c>
      <c r="Q351" s="251" t="str">
        <f>IF($R$11&lt;=M351,IF($R$11&gt;=M350+0.01,X351,""),"")</f>
        <v/>
      </c>
      <c r="R351" s="251" t="str">
        <f>IF($R$11&lt;=M351,IF($R$11&gt;=M350+0.01,Y351,""),"")</f>
        <v/>
      </c>
      <c r="S351" s="252" t="str">
        <f>IF($R$11&lt;=M351,IF($R$11&gt;=M350+0.01,Z351,""),"")</f>
        <v/>
      </c>
      <c r="T351" s="253"/>
      <c r="U351" s="254">
        <v>2.3E-2</v>
      </c>
      <c r="V351" s="254">
        <v>0</v>
      </c>
      <c r="W351" s="254">
        <v>0</v>
      </c>
      <c r="X351" s="254">
        <v>0</v>
      </c>
      <c r="Y351" s="254">
        <v>0</v>
      </c>
      <c r="Z351" s="254">
        <v>0</v>
      </c>
      <c r="AA351" s="249"/>
      <c r="AB351" s="279"/>
      <c r="AC351" s="279"/>
      <c r="AD351" s="279"/>
      <c r="AE351" s="279"/>
      <c r="AF351" s="279"/>
      <c r="AG351" s="279"/>
      <c r="AH351" s="249"/>
      <c r="AI351" s="249"/>
      <c r="AJ351" s="249"/>
      <c r="AK351" s="249"/>
      <c r="AL351" s="249"/>
      <c r="AM351" s="249"/>
      <c r="AN351" s="249"/>
      <c r="AO351" s="249"/>
    </row>
    <row r="352" spans="13:41" x14ac:dyDescent="0.35">
      <c r="M352" s="250">
        <v>802</v>
      </c>
      <c r="N352" s="251" t="str">
        <f>IF($R$11&lt;=M352,IF($R$11&gt;=M351+0.01,U352,""),"")</f>
        <v/>
      </c>
      <c r="O352" s="251" t="str">
        <f>IF($R$11&lt;=M352,IF($R$11&gt;=M351+0.01,V352,""),"")</f>
        <v/>
      </c>
      <c r="P352" s="251" t="str">
        <f>IF($R$11&lt;=M352,IF($R$11&gt;=M351+0.01,W352,""),"")</f>
        <v/>
      </c>
      <c r="Q352" s="251" t="str">
        <f>IF($R$11&lt;=M352,IF($R$11&gt;=M351+0.01,X352,""),"")</f>
        <v/>
      </c>
      <c r="R352" s="251" t="str">
        <f>IF($R$11&lt;=M352,IF($R$11&gt;=M351+0.01,Y352,""),"")</f>
        <v/>
      </c>
      <c r="S352" s="252" t="str">
        <f>IF($R$11&lt;=M352,IF($R$11&gt;=M351+0.01,Z352,""),"")</f>
        <v/>
      </c>
      <c r="T352" s="253"/>
      <c r="U352" s="254">
        <v>3.3000000000000002E-2</v>
      </c>
      <c r="V352" s="254">
        <v>6.0000000000000001E-3</v>
      </c>
      <c r="W352" s="254">
        <v>0</v>
      </c>
      <c r="X352" s="254">
        <v>0</v>
      </c>
      <c r="Y352" s="254">
        <v>0</v>
      </c>
      <c r="Z352" s="254">
        <v>0</v>
      </c>
      <c r="AA352" s="249"/>
      <c r="AB352" s="279"/>
      <c r="AC352" s="279"/>
      <c r="AD352" s="279"/>
      <c r="AE352" s="279"/>
      <c r="AF352" s="279"/>
      <c r="AG352" s="279"/>
      <c r="AH352" s="249"/>
      <c r="AI352" s="249"/>
      <c r="AJ352" s="249"/>
      <c r="AK352" s="249"/>
      <c r="AL352" s="249"/>
      <c r="AM352" s="249"/>
      <c r="AN352" s="249"/>
      <c r="AO352" s="249"/>
    </row>
    <row r="353" spans="13:41" x14ac:dyDescent="0.35">
      <c r="M353" s="250">
        <v>844</v>
      </c>
      <c r="N353" s="251" t="str">
        <f>IF($R$11&lt;=M353,IF($R$11&gt;=M352+0.01,U353,""),"")</f>
        <v/>
      </c>
      <c r="O353" s="251" t="str">
        <f>IF($R$11&lt;=M353,IF($R$11&gt;=M352+0.01,V353,""),"")</f>
        <v/>
      </c>
      <c r="P353" s="251" t="str">
        <f>IF($R$11&lt;=M353,IF($R$11&gt;=M352+0.01,W353,""),"")</f>
        <v/>
      </c>
      <c r="Q353" s="251" t="str">
        <f>IF($R$11&lt;=M353,IF($R$11&gt;=M352+0.01,X353,""),"")</f>
        <v/>
      </c>
      <c r="R353" s="251" t="str">
        <f>IF($R$11&lt;=M353,IF($R$11&gt;=M352+0.01,Y353,""),"")</f>
        <v/>
      </c>
      <c r="S353" s="252" t="str">
        <f>IF($R$11&lt;=M353,IF($R$11&gt;=M352+0.01,Z353,""),"")</f>
        <v/>
      </c>
      <c r="T353" s="253"/>
      <c r="U353" s="254">
        <v>3.9E-2</v>
      </c>
      <c r="V353" s="254">
        <v>1.2999999999999999E-2</v>
      </c>
      <c r="W353" s="254">
        <v>6.0000000000000001E-3</v>
      </c>
      <c r="X353" s="254">
        <v>0</v>
      </c>
      <c r="Y353" s="254">
        <v>0</v>
      </c>
      <c r="Z353" s="254">
        <v>0</v>
      </c>
      <c r="AA353" s="249"/>
      <c r="AB353" s="279"/>
      <c r="AC353" s="279"/>
      <c r="AD353" s="279"/>
      <c r="AE353" s="279"/>
      <c r="AF353" s="279"/>
      <c r="AG353" s="279"/>
      <c r="AH353" s="249"/>
      <c r="AI353" s="249"/>
      <c r="AJ353" s="249"/>
      <c r="AK353" s="249"/>
      <c r="AL353" s="249"/>
      <c r="AM353" s="249"/>
      <c r="AN353" s="249"/>
      <c r="AO353" s="249"/>
    </row>
    <row r="354" spans="13:41" x14ac:dyDescent="0.35">
      <c r="M354" s="250">
        <v>894</v>
      </c>
      <c r="N354" s="251" t="str">
        <f>IF($R$11&lt;=M354,IF($R$11&gt;=M353+0.01,U354,""),"")</f>
        <v/>
      </c>
      <c r="O354" s="251" t="str">
        <f>IF($R$11&lt;=M354,IF($R$11&gt;=M353+0.01,V354,""),"")</f>
        <v/>
      </c>
      <c r="P354" s="251" t="str">
        <f>IF($R$11&lt;=M354,IF($R$11&gt;=M353+0.01,W354,""),"")</f>
        <v/>
      </c>
      <c r="Q354" s="251" t="str">
        <f>IF($R$11&lt;=M354,IF($R$11&gt;=M353+0.01,X354,""),"")</f>
        <v/>
      </c>
      <c r="R354" s="251" t="str">
        <f>IF($R$11&lt;=M354,IF($R$11&gt;=M353+0.01,Y354,""),"")</f>
        <v/>
      </c>
      <c r="S354" s="252" t="str">
        <f>IF($R$11&lt;=M354,IF($R$11&gt;=M353+0.01,Z354,""),"")</f>
        <v/>
      </c>
      <c r="T354" s="253"/>
      <c r="U354" s="254">
        <v>4.5999999999999999E-2</v>
      </c>
      <c r="V354" s="254">
        <v>2.5999999999999999E-2</v>
      </c>
      <c r="W354" s="254">
        <v>8.0000000000000002E-3</v>
      </c>
      <c r="X354" s="254">
        <v>0</v>
      </c>
      <c r="Y354" s="254">
        <v>0</v>
      </c>
      <c r="Z354" s="254">
        <v>0</v>
      </c>
      <c r="AA354" s="249"/>
      <c r="AB354" s="279"/>
      <c r="AC354" s="279"/>
      <c r="AD354" s="279"/>
      <c r="AE354" s="279"/>
      <c r="AF354" s="279"/>
      <c r="AG354" s="279"/>
      <c r="AH354" s="249"/>
      <c r="AI354" s="249"/>
      <c r="AJ354" s="249"/>
      <c r="AK354" s="249"/>
      <c r="AL354" s="249"/>
      <c r="AM354" s="249"/>
      <c r="AN354" s="249"/>
      <c r="AO354" s="249"/>
    </row>
    <row r="355" spans="13:41" x14ac:dyDescent="0.35">
      <c r="M355" s="250">
        <v>983</v>
      </c>
      <c r="N355" s="251" t="str">
        <f t="shared" ref="N355:N385" si="50">IF($R$11&lt;=M355,IF($R$11&gt;=M354+0.01,U355,""),"")</f>
        <v/>
      </c>
      <c r="O355" s="251" t="str">
        <f t="shared" ref="O355:O385" si="51">IF($R$11&lt;=M355,IF($R$11&gt;=M354+0.01,V355,""),"")</f>
        <v/>
      </c>
      <c r="P355" s="251" t="str">
        <f t="shared" ref="P355:P385" si="52">IF($R$11&lt;=M355,IF($R$11&gt;=M354+0.01,W355,""),"")</f>
        <v/>
      </c>
      <c r="Q355" s="251" t="str">
        <f t="shared" ref="Q355:Q385" si="53">IF($R$11&lt;=M355,IF($R$11&gt;=M354+0.01,X355,""),"")</f>
        <v/>
      </c>
      <c r="R355" s="251" t="str">
        <f t="shared" ref="R355:R385" si="54">IF($R$11&lt;=M355,IF($R$11&gt;=M354+0.01,Y355,""),"")</f>
        <v/>
      </c>
      <c r="S355" s="252" t="str">
        <f t="shared" ref="S355:S385" si="55">IF($R$11&lt;=M355,IF($R$11&gt;=M354+0.01,Z355,""),"")</f>
        <v/>
      </c>
      <c r="T355" s="253"/>
      <c r="U355" s="254">
        <v>5.0999999999999997E-2</v>
      </c>
      <c r="V355" s="254">
        <v>3.2000000000000001E-2</v>
      </c>
      <c r="W355" s="254">
        <v>0.02</v>
      </c>
      <c r="X355" s="254">
        <v>0</v>
      </c>
      <c r="Y355" s="254">
        <v>0</v>
      </c>
      <c r="Z355" s="254">
        <v>0</v>
      </c>
      <c r="AA355" s="249"/>
      <c r="AB355" s="279"/>
      <c r="AC355" s="279"/>
      <c r="AD355" s="279"/>
      <c r="AE355" s="279"/>
      <c r="AF355" s="279"/>
      <c r="AG355" s="279"/>
      <c r="AH355" s="249"/>
      <c r="AI355" s="249"/>
      <c r="AJ355" s="249"/>
      <c r="AK355" s="249"/>
      <c r="AL355" s="249"/>
      <c r="AM355" s="249"/>
      <c r="AN355" s="249"/>
      <c r="AO355" s="249"/>
    </row>
    <row r="356" spans="13:41" x14ac:dyDescent="0.35">
      <c r="M356" s="250">
        <v>1091</v>
      </c>
      <c r="N356" s="251" t="str">
        <f t="shared" si="50"/>
        <v/>
      </c>
      <c r="O356" s="251" t="str">
        <f t="shared" si="51"/>
        <v/>
      </c>
      <c r="P356" s="251" t="str">
        <f t="shared" si="52"/>
        <v/>
      </c>
      <c r="Q356" s="251" t="str">
        <f t="shared" si="53"/>
        <v/>
      </c>
      <c r="R356" s="251" t="str">
        <f t="shared" si="54"/>
        <v/>
      </c>
      <c r="S356" s="252" t="str">
        <f t="shared" si="55"/>
        <v/>
      </c>
      <c r="T356" s="253"/>
      <c r="U356" s="254">
        <v>6.2E-2</v>
      </c>
      <c r="V356" s="254">
        <v>4.2000000000000003E-2</v>
      </c>
      <c r="W356" s="254">
        <v>2.8000000000000001E-2</v>
      </c>
      <c r="X356" s="254">
        <v>8.0000000000000002E-3</v>
      </c>
      <c r="Y356" s="254">
        <v>0</v>
      </c>
      <c r="Z356" s="254">
        <v>0</v>
      </c>
      <c r="AA356" s="249"/>
      <c r="AB356" s="279"/>
      <c r="AC356" s="279"/>
      <c r="AD356" s="279"/>
      <c r="AE356" s="279"/>
      <c r="AF356" s="279"/>
      <c r="AG356" s="279"/>
      <c r="AH356" s="249"/>
      <c r="AI356" s="249"/>
      <c r="AJ356" s="249"/>
      <c r="AK356" s="249"/>
      <c r="AL356" s="249"/>
      <c r="AM356" s="249"/>
      <c r="AN356" s="249"/>
      <c r="AO356" s="249"/>
    </row>
    <row r="357" spans="13:41" x14ac:dyDescent="0.35">
      <c r="M357" s="250">
        <v>1237</v>
      </c>
      <c r="N357" s="251" t="str">
        <f t="shared" si="50"/>
        <v/>
      </c>
      <c r="O357" s="251" t="str">
        <f t="shared" si="51"/>
        <v/>
      </c>
      <c r="P357" s="251" t="str">
        <f t="shared" si="52"/>
        <v/>
      </c>
      <c r="Q357" s="251" t="str">
        <f t="shared" si="53"/>
        <v/>
      </c>
      <c r="R357" s="251" t="str">
        <f t="shared" si="54"/>
        <v/>
      </c>
      <c r="S357" s="252" t="str">
        <f t="shared" si="55"/>
        <v/>
      </c>
      <c r="T357" s="253"/>
      <c r="U357" s="254">
        <v>7.0000000000000007E-2</v>
      </c>
      <c r="V357" s="254">
        <v>5.1999999999999998E-2</v>
      </c>
      <c r="W357" s="254">
        <v>3.5999999999999997E-2</v>
      </c>
      <c r="X357" s="254">
        <v>1.4999999999999999E-2</v>
      </c>
      <c r="Y357" s="254">
        <v>0</v>
      </c>
      <c r="Z357" s="254">
        <v>0</v>
      </c>
      <c r="AA357" s="249"/>
      <c r="AB357" s="279"/>
      <c r="AC357" s="279"/>
      <c r="AD357" s="279"/>
      <c r="AE357" s="279"/>
      <c r="AF357" s="279"/>
      <c r="AG357" s="279"/>
      <c r="AH357" s="249"/>
      <c r="AI357" s="249"/>
      <c r="AJ357" s="249"/>
      <c r="AK357" s="249"/>
      <c r="AL357" s="249"/>
      <c r="AM357" s="249"/>
      <c r="AN357" s="249"/>
      <c r="AO357" s="249"/>
    </row>
    <row r="358" spans="13:41" x14ac:dyDescent="0.35">
      <c r="M358" s="250">
        <v>1417</v>
      </c>
      <c r="N358" s="251" t="str">
        <f t="shared" si="50"/>
        <v/>
      </c>
      <c r="O358" s="251" t="str">
        <f t="shared" si="51"/>
        <v/>
      </c>
      <c r="P358" s="251" t="str">
        <f t="shared" si="52"/>
        <v/>
      </c>
      <c r="Q358" s="251" t="str">
        <f t="shared" si="53"/>
        <v/>
      </c>
      <c r="R358" s="251" t="str">
        <f t="shared" si="54"/>
        <v/>
      </c>
      <c r="S358" s="252" t="str">
        <f t="shared" si="55"/>
        <v/>
      </c>
      <c r="T358" s="253"/>
      <c r="U358" s="254">
        <v>8.1000000000000003E-2</v>
      </c>
      <c r="V358" s="254">
        <v>6.8000000000000005E-2</v>
      </c>
      <c r="W358" s="254">
        <v>5.3999999999999999E-2</v>
      </c>
      <c r="X358" s="254">
        <v>3.3000000000000002E-2</v>
      </c>
      <c r="Y358" s="254">
        <v>0.02</v>
      </c>
      <c r="Z358" s="254">
        <v>1.2999999999999999E-2</v>
      </c>
      <c r="AA358" s="249"/>
      <c r="AB358" s="279"/>
      <c r="AC358" s="279"/>
      <c r="AD358" s="279"/>
      <c r="AE358" s="279"/>
      <c r="AF358" s="279"/>
      <c r="AG358" s="279"/>
      <c r="AH358" s="249"/>
      <c r="AI358" s="249"/>
      <c r="AJ358" s="249"/>
      <c r="AK358" s="249"/>
      <c r="AL358" s="249"/>
      <c r="AM358" s="249"/>
      <c r="AN358" s="249"/>
      <c r="AO358" s="249"/>
    </row>
    <row r="359" spans="13:41" x14ac:dyDescent="0.35">
      <c r="M359" s="250">
        <v>1644</v>
      </c>
      <c r="N359" s="251">
        <f t="shared" si="50"/>
        <v>8.8999999999999996E-2</v>
      </c>
      <c r="O359" s="251">
        <f t="shared" si="51"/>
        <v>7.5999999999999998E-2</v>
      </c>
      <c r="P359" s="251">
        <f t="shared" si="52"/>
        <v>6.2E-2</v>
      </c>
      <c r="Q359" s="251">
        <f t="shared" si="53"/>
        <v>4.8000000000000001E-2</v>
      </c>
      <c r="R359" s="251">
        <f t="shared" si="54"/>
        <v>3.4000000000000002E-2</v>
      </c>
      <c r="S359" s="252">
        <f t="shared" si="55"/>
        <v>2.1000000000000001E-2</v>
      </c>
      <c r="T359" s="253"/>
      <c r="U359" s="254">
        <v>8.8999999999999996E-2</v>
      </c>
      <c r="V359" s="254">
        <v>7.5999999999999998E-2</v>
      </c>
      <c r="W359" s="254">
        <v>6.2E-2</v>
      </c>
      <c r="X359" s="254">
        <v>4.8000000000000001E-2</v>
      </c>
      <c r="Y359" s="254">
        <v>3.4000000000000002E-2</v>
      </c>
      <c r="Z359" s="254">
        <v>2.1000000000000001E-2</v>
      </c>
      <c r="AA359" s="249"/>
      <c r="AB359" s="279"/>
      <c r="AC359" s="279"/>
      <c r="AD359" s="279"/>
      <c r="AE359" s="279"/>
      <c r="AF359" s="279"/>
      <c r="AG359" s="279"/>
      <c r="AH359" s="249"/>
      <c r="AI359" s="249"/>
      <c r="AJ359" s="249"/>
      <c r="AK359" s="249"/>
      <c r="AL359" s="249"/>
      <c r="AM359" s="249"/>
      <c r="AN359" s="249"/>
      <c r="AO359" s="249"/>
    </row>
    <row r="360" spans="13:41" x14ac:dyDescent="0.35">
      <c r="M360" s="250">
        <v>1749</v>
      </c>
      <c r="N360" s="251" t="str">
        <f t="shared" si="50"/>
        <v/>
      </c>
      <c r="O360" s="251" t="str">
        <f t="shared" si="51"/>
        <v/>
      </c>
      <c r="P360" s="251" t="str">
        <f t="shared" si="52"/>
        <v/>
      </c>
      <c r="Q360" s="251" t="str">
        <f t="shared" si="53"/>
        <v/>
      </c>
      <c r="R360" s="251" t="str">
        <f t="shared" si="54"/>
        <v/>
      </c>
      <c r="S360" s="252" t="str">
        <f t="shared" si="55"/>
        <v/>
      </c>
      <c r="T360" s="253"/>
      <c r="U360" s="254">
        <v>9.9000000000000005E-2</v>
      </c>
      <c r="V360" s="254">
        <v>8.6999999999999994E-2</v>
      </c>
      <c r="W360" s="254">
        <v>0.08</v>
      </c>
      <c r="X360" s="254">
        <v>5.8000000000000003E-2</v>
      </c>
      <c r="Y360" s="254">
        <v>4.4999999999999998E-2</v>
      </c>
      <c r="Z360" s="254">
        <v>3.9E-2</v>
      </c>
      <c r="AA360" s="249"/>
      <c r="AB360" s="279"/>
      <c r="AC360" s="279"/>
      <c r="AD360" s="279"/>
      <c r="AE360" s="279"/>
      <c r="AF360" s="279"/>
      <c r="AG360" s="279"/>
      <c r="AH360" s="249"/>
      <c r="AI360" s="249"/>
      <c r="AJ360" s="249"/>
      <c r="AK360" s="249"/>
      <c r="AL360" s="249"/>
      <c r="AM360" s="249"/>
      <c r="AN360" s="249"/>
      <c r="AO360" s="249"/>
    </row>
    <row r="361" spans="13:41" x14ac:dyDescent="0.35">
      <c r="M361" s="250">
        <v>1866</v>
      </c>
      <c r="N361" s="251" t="str">
        <f t="shared" si="50"/>
        <v/>
      </c>
      <c r="O361" s="251" t="str">
        <f t="shared" si="51"/>
        <v/>
      </c>
      <c r="P361" s="251" t="str">
        <f t="shared" si="52"/>
        <v/>
      </c>
      <c r="Q361" s="251" t="str">
        <f t="shared" si="53"/>
        <v/>
      </c>
      <c r="R361" s="251" t="str">
        <f t="shared" si="54"/>
        <v/>
      </c>
      <c r="S361" s="252" t="str">
        <f t="shared" si="55"/>
        <v/>
      </c>
      <c r="T361" s="253"/>
      <c r="U361" s="254">
        <v>0.11</v>
      </c>
      <c r="V361" s="254">
        <v>9.7000000000000003E-2</v>
      </c>
      <c r="W361" s="254">
        <v>9.1999999999999998E-2</v>
      </c>
      <c r="X361" s="254">
        <v>7.0999999999999994E-2</v>
      </c>
      <c r="Y361" s="254">
        <v>5.7000000000000002E-2</v>
      </c>
      <c r="Z361" s="254">
        <v>5.0999999999999997E-2</v>
      </c>
      <c r="AA361" s="249"/>
      <c r="AB361" s="279"/>
      <c r="AC361" s="279"/>
      <c r="AD361" s="279"/>
      <c r="AE361" s="279"/>
      <c r="AF361" s="279"/>
      <c r="AG361" s="279"/>
      <c r="AH361" s="249"/>
      <c r="AI361" s="249"/>
      <c r="AJ361" s="249"/>
      <c r="AK361" s="249"/>
      <c r="AL361" s="249"/>
      <c r="AM361" s="249"/>
      <c r="AN361" s="249"/>
      <c r="AO361" s="249"/>
    </row>
    <row r="362" spans="13:41" x14ac:dyDescent="0.35">
      <c r="M362" s="250">
        <v>2016</v>
      </c>
      <c r="N362" s="251" t="str">
        <f t="shared" si="50"/>
        <v/>
      </c>
      <c r="O362" s="251" t="str">
        <f t="shared" si="51"/>
        <v/>
      </c>
      <c r="P362" s="251" t="str">
        <f t="shared" si="52"/>
        <v/>
      </c>
      <c r="Q362" s="251" t="str">
        <f t="shared" si="53"/>
        <v/>
      </c>
      <c r="R362" s="251" t="str">
        <f t="shared" si="54"/>
        <v/>
      </c>
      <c r="S362" s="252" t="str">
        <f t="shared" si="55"/>
        <v/>
      </c>
      <c r="T362" s="253"/>
      <c r="U362" s="254">
        <v>0.11799999999999999</v>
      </c>
      <c r="V362" s="254">
        <v>0.104</v>
      </c>
      <c r="W362" s="254">
        <v>9.8000000000000004E-2</v>
      </c>
      <c r="X362" s="254">
        <v>7.8E-2</v>
      </c>
      <c r="Y362" s="254">
        <v>7.1999999999999995E-2</v>
      </c>
      <c r="Z362" s="254">
        <v>5.8000000000000003E-2</v>
      </c>
      <c r="AA362" s="249"/>
      <c r="AB362" s="279"/>
      <c r="AC362" s="279"/>
      <c r="AD362" s="279"/>
      <c r="AE362" s="279"/>
      <c r="AF362" s="279"/>
      <c r="AG362" s="279"/>
      <c r="AH362" s="249"/>
      <c r="AI362" s="249"/>
      <c r="AJ362" s="249"/>
      <c r="AK362" s="249"/>
      <c r="AL362" s="249"/>
      <c r="AM362" s="249"/>
      <c r="AN362" s="249"/>
      <c r="AO362" s="249"/>
    </row>
    <row r="363" spans="13:41" x14ac:dyDescent="0.35">
      <c r="M363" s="250">
        <v>2177</v>
      </c>
      <c r="N363" s="251" t="str">
        <f t="shared" si="50"/>
        <v/>
      </c>
      <c r="O363" s="251" t="str">
        <f t="shared" si="51"/>
        <v/>
      </c>
      <c r="P363" s="251" t="str">
        <f t="shared" si="52"/>
        <v/>
      </c>
      <c r="Q363" s="251" t="str">
        <f t="shared" si="53"/>
        <v/>
      </c>
      <c r="R363" s="251" t="str">
        <f t="shared" si="54"/>
        <v/>
      </c>
      <c r="S363" s="252" t="str">
        <f t="shared" si="55"/>
        <v/>
      </c>
      <c r="T363" s="253"/>
      <c r="U363" s="254">
        <v>0.13400000000000001</v>
      </c>
      <c r="V363" s="254">
        <v>0.12</v>
      </c>
      <c r="W363" s="254">
        <v>0.113</v>
      </c>
      <c r="X363" s="254">
        <v>9.0999999999999998E-2</v>
      </c>
      <c r="Y363" s="254">
        <v>8.5000000000000006E-2</v>
      </c>
      <c r="Z363" s="254">
        <v>7.0999999999999994E-2</v>
      </c>
      <c r="AA363" s="249"/>
      <c r="AB363" s="279"/>
      <c r="AC363" s="279"/>
      <c r="AD363" s="279"/>
      <c r="AE363" s="279"/>
      <c r="AF363" s="279"/>
      <c r="AG363" s="279"/>
      <c r="AH363" s="249"/>
      <c r="AI363" s="249"/>
      <c r="AJ363" s="249"/>
      <c r="AK363" s="249"/>
      <c r="AL363" s="249"/>
      <c r="AM363" s="249"/>
      <c r="AN363" s="249"/>
      <c r="AO363" s="249"/>
    </row>
    <row r="364" spans="13:41" x14ac:dyDescent="0.35">
      <c r="M364" s="250">
        <v>2369</v>
      </c>
      <c r="N364" s="251" t="str">
        <f t="shared" si="50"/>
        <v/>
      </c>
      <c r="O364" s="251" t="str">
        <f t="shared" si="51"/>
        <v/>
      </c>
      <c r="P364" s="251" t="str">
        <f t="shared" si="52"/>
        <v/>
      </c>
      <c r="Q364" s="251" t="str">
        <f t="shared" si="53"/>
        <v/>
      </c>
      <c r="R364" s="251" t="str">
        <f t="shared" si="54"/>
        <v/>
      </c>
      <c r="S364" s="252" t="str">
        <f t="shared" si="55"/>
        <v/>
      </c>
      <c r="T364" s="253"/>
      <c r="U364" s="254">
        <v>0.14199999999999999</v>
      </c>
      <c r="V364" s="254">
        <v>0.13600000000000001</v>
      </c>
      <c r="W364" s="254">
        <v>0.122</v>
      </c>
      <c r="X364" s="254">
        <v>9.9000000000000005E-2</v>
      </c>
      <c r="Y364" s="254">
        <v>9.2999999999999999E-2</v>
      </c>
      <c r="Z364" s="254">
        <v>7.9000000000000001E-2</v>
      </c>
      <c r="AA364" s="249"/>
      <c r="AB364" s="279"/>
      <c r="AC364" s="279"/>
      <c r="AD364" s="279"/>
      <c r="AE364" s="279"/>
      <c r="AF364" s="279"/>
      <c r="AG364" s="279"/>
      <c r="AH364" s="249"/>
      <c r="AI364" s="249"/>
      <c r="AJ364" s="249"/>
      <c r="AK364" s="249"/>
      <c r="AL364" s="249"/>
      <c r="AM364" s="249"/>
      <c r="AN364" s="249"/>
      <c r="AO364" s="249"/>
    </row>
    <row r="365" spans="13:41" x14ac:dyDescent="0.35">
      <c r="M365" s="250">
        <v>2590</v>
      </c>
      <c r="N365" s="251" t="str">
        <f t="shared" si="50"/>
        <v/>
      </c>
      <c r="O365" s="251" t="str">
        <f t="shared" si="51"/>
        <v/>
      </c>
      <c r="P365" s="251" t="str">
        <f t="shared" si="52"/>
        <v/>
      </c>
      <c r="Q365" s="251" t="str">
        <f t="shared" si="53"/>
        <v/>
      </c>
      <c r="R365" s="251" t="str">
        <f t="shared" si="54"/>
        <v/>
      </c>
      <c r="S365" s="252" t="str">
        <f t="shared" si="55"/>
        <v/>
      </c>
      <c r="T365" s="253"/>
      <c r="U365" s="254">
        <v>0.14899999999999999</v>
      </c>
      <c r="V365" s="254">
        <v>0.14399999999999999</v>
      </c>
      <c r="W365" s="254">
        <v>0.13</v>
      </c>
      <c r="X365" s="254">
        <v>0.115</v>
      </c>
      <c r="Y365" s="254">
        <v>0.10100000000000001</v>
      </c>
      <c r="Z365" s="254">
        <v>9.5000000000000001E-2</v>
      </c>
      <c r="AA365" s="249"/>
      <c r="AB365" s="279"/>
      <c r="AC365" s="279"/>
      <c r="AD365" s="279"/>
      <c r="AE365" s="279"/>
      <c r="AF365" s="279"/>
      <c r="AG365" s="279"/>
      <c r="AH365" s="249"/>
      <c r="AI365" s="249"/>
      <c r="AJ365" s="249"/>
      <c r="AK365" s="249"/>
      <c r="AL365" s="249"/>
      <c r="AM365" s="249"/>
      <c r="AN365" s="249"/>
      <c r="AO365" s="249"/>
    </row>
    <row r="366" spans="13:41" x14ac:dyDescent="0.35">
      <c r="M366" s="250">
        <v>2961</v>
      </c>
      <c r="N366" s="251" t="str">
        <f t="shared" si="50"/>
        <v/>
      </c>
      <c r="O366" s="251" t="str">
        <f t="shared" si="51"/>
        <v/>
      </c>
      <c r="P366" s="251" t="str">
        <f t="shared" si="52"/>
        <v/>
      </c>
      <c r="Q366" s="251" t="str">
        <f t="shared" si="53"/>
        <v/>
      </c>
      <c r="R366" s="251" t="str">
        <f t="shared" si="54"/>
        <v/>
      </c>
      <c r="S366" s="252" t="str">
        <f t="shared" si="55"/>
        <v/>
      </c>
      <c r="T366" s="253"/>
      <c r="U366" s="254">
        <v>0.158</v>
      </c>
      <c r="V366" s="254">
        <v>0.152</v>
      </c>
      <c r="W366" s="254">
        <v>0.13900000000000001</v>
      </c>
      <c r="X366" s="254">
        <v>0.124</v>
      </c>
      <c r="Y366" s="254">
        <v>0.109</v>
      </c>
      <c r="Z366" s="254">
        <v>0.10299999999999999</v>
      </c>
      <c r="AA366" s="249"/>
      <c r="AB366" s="279"/>
      <c r="AC366" s="279"/>
      <c r="AD366" s="279"/>
      <c r="AE366" s="279"/>
      <c r="AF366" s="279"/>
      <c r="AG366" s="279"/>
      <c r="AH366" s="249"/>
      <c r="AI366" s="249"/>
      <c r="AJ366" s="249"/>
      <c r="AK366" s="249"/>
      <c r="AL366" s="249"/>
      <c r="AM366" s="249"/>
      <c r="AN366" s="249"/>
      <c r="AO366" s="249"/>
    </row>
    <row r="367" spans="13:41" x14ac:dyDescent="0.35">
      <c r="M367" s="250">
        <v>3387</v>
      </c>
      <c r="N367" s="251" t="str">
        <f t="shared" si="50"/>
        <v/>
      </c>
      <c r="O367" s="251" t="str">
        <f t="shared" si="51"/>
        <v/>
      </c>
      <c r="P367" s="251" t="str">
        <f t="shared" si="52"/>
        <v/>
      </c>
      <c r="Q367" s="251" t="str">
        <f t="shared" si="53"/>
        <v/>
      </c>
      <c r="R367" s="251" t="str">
        <f t="shared" si="54"/>
        <v/>
      </c>
      <c r="S367" s="252" t="str">
        <f t="shared" si="55"/>
        <v/>
      </c>
      <c r="T367" s="253"/>
      <c r="U367" s="254">
        <v>0.19800000000000001</v>
      </c>
      <c r="V367" s="254">
        <v>0.19800000000000001</v>
      </c>
      <c r="W367" s="254">
        <v>0.183</v>
      </c>
      <c r="X367" s="254">
        <v>0.17</v>
      </c>
      <c r="Y367" s="254">
        <v>0.158</v>
      </c>
      <c r="Z367" s="254">
        <v>0.154</v>
      </c>
      <c r="AA367" s="249"/>
      <c r="AB367" s="279"/>
      <c r="AC367" s="279"/>
      <c r="AD367" s="279"/>
      <c r="AE367" s="279"/>
      <c r="AF367" s="279"/>
      <c r="AG367" s="279"/>
      <c r="AH367" s="249"/>
      <c r="AI367" s="249"/>
      <c r="AJ367" s="249"/>
      <c r="AK367" s="249"/>
      <c r="AL367" s="249"/>
      <c r="AM367" s="249"/>
      <c r="AN367" s="249"/>
      <c r="AO367" s="249"/>
    </row>
    <row r="368" spans="13:41" x14ac:dyDescent="0.35">
      <c r="M368" s="250">
        <v>3644</v>
      </c>
      <c r="N368" s="251" t="str">
        <f t="shared" si="50"/>
        <v/>
      </c>
      <c r="O368" s="251" t="str">
        <f t="shared" si="51"/>
        <v/>
      </c>
      <c r="P368" s="251" t="str">
        <f t="shared" si="52"/>
        <v/>
      </c>
      <c r="Q368" s="251" t="str">
        <f t="shared" si="53"/>
        <v/>
      </c>
      <c r="R368" s="251" t="str">
        <f t="shared" si="54"/>
        <v/>
      </c>
      <c r="S368" s="252" t="str">
        <f t="shared" si="55"/>
        <v/>
      </c>
      <c r="T368" s="253"/>
      <c r="U368" s="254">
        <v>0.20699999999999999</v>
      </c>
      <c r="V368" s="254">
        <v>0.20599999999999999</v>
      </c>
      <c r="W368" s="254">
        <v>0.19400000000000001</v>
      </c>
      <c r="X368" s="254">
        <v>0.17899999999999999</v>
      </c>
      <c r="Y368" s="254">
        <v>0.17499999999999999</v>
      </c>
      <c r="Z368" s="254">
        <v>0.16200000000000001</v>
      </c>
      <c r="AA368" s="249"/>
      <c r="AB368" s="279"/>
      <c r="AC368" s="279"/>
      <c r="AD368" s="279"/>
      <c r="AE368" s="279"/>
      <c r="AF368" s="279"/>
      <c r="AG368" s="279"/>
      <c r="AH368" s="249"/>
      <c r="AI368" s="249"/>
      <c r="AJ368" s="249"/>
      <c r="AK368" s="249"/>
      <c r="AL368" s="249"/>
      <c r="AM368" s="249"/>
      <c r="AN368" s="249"/>
      <c r="AO368" s="249"/>
    </row>
    <row r="369" spans="13:41" x14ac:dyDescent="0.35">
      <c r="M369" s="250">
        <v>3917</v>
      </c>
      <c r="N369" s="251" t="str">
        <f t="shared" si="50"/>
        <v/>
      </c>
      <c r="O369" s="251" t="str">
        <f t="shared" si="51"/>
        <v/>
      </c>
      <c r="P369" s="251" t="str">
        <f t="shared" si="52"/>
        <v/>
      </c>
      <c r="Q369" s="251" t="str">
        <f t="shared" si="53"/>
        <v/>
      </c>
      <c r="R369" s="251" t="str">
        <f t="shared" si="54"/>
        <v/>
      </c>
      <c r="S369" s="252" t="str">
        <f t="shared" si="55"/>
        <v/>
      </c>
      <c r="T369" s="253"/>
      <c r="U369" s="254">
        <v>0.216</v>
      </c>
      <c r="V369" s="254">
        <v>0.215</v>
      </c>
      <c r="W369" s="254">
        <v>0.20300000000000001</v>
      </c>
      <c r="X369" s="254">
        <v>0.19</v>
      </c>
      <c r="Y369" s="254">
        <v>0.185</v>
      </c>
      <c r="Z369" s="254">
        <v>0.17199999999999999</v>
      </c>
      <c r="AA369" s="249"/>
      <c r="AB369" s="279"/>
      <c r="AC369" s="279"/>
      <c r="AD369" s="279"/>
      <c r="AE369" s="279"/>
      <c r="AF369" s="279"/>
      <c r="AG369" s="279"/>
      <c r="AH369" s="249"/>
      <c r="AI369" s="249"/>
      <c r="AJ369" s="249"/>
      <c r="AK369" s="249"/>
      <c r="AL369" s="249"/>
      <c r="AM369" s="249"/>
      <c r="AN369" s="249"/>
      <c r="AO369" s="249"/>
    </row>
    <row r="370" spans="13:41" x14ac:dyDescent="0.35">
      <c r="M370" s="250">
        <v>4248</v>
      </c>
      <c r="N370" s="251" t="str">
        <f t="shared" si="50"/>
        <v/>
      </c>
      <c r="O370" s="251" t="str">
        <f t="shared" si="51"/>
        <v/>
      </c>
      <c r="P370" s="251" t="str">
        <f t="shared" si="52"/>
        <v/>
      </c>
      <c r="Q370" s="251" t="str">
        <f t="shared" si="53"/>
        <v/>
      </c>
      <c r="R370" s="251" t="str">
        <f t="shared" si="54"/>
        <v/>
      </c>
      <c r="S370" s="252" t="str">
        <f t="shared" si="55"/>
        <v/>
      </c>
      <c r="T370" s="253"/>
      <c r="U370" s="254">
        <v>0.22500000000000001</v>
      </c>
      <c r="V370" s="254">
        <v>0.224</v>
      </c>
      <c r="W370" s="254">
        <v>0.21099999999999999</v>
      </c>
      <c r="X370" s="254">
        <v>0.19900000000000001</v>
      </c>
      <c r="Y370" s="254">
        <v>0.19600000000000001</v>
      </c>
      <c r="Z370" s="254">
        <v>0.19</v>
      </c>
      <c r="AA370" s="249"/>
      <c r="AB370" s="279"/>
      <c r="AC370" s="279"/>
      <c r="AD370" s="279"/>
      <c r="AE370" s="279"/>
      <c r="AF370" s="279"/>
      <c r="AG370" s="279"/>
      <c r="AH370" s="249"/>
      <c r="AI370" s="249"/>
      <c r="AJ370" s="249"/>
      <c r="AK370" s="249"/>
      <c r="AL370" s="249"/>
      <c r="AM370" s="249"/>
      <c r="AN370" s="249"/>
      <c r="AO370" s="249"/>
    </row>
    <row r="371" spans="13:41" x14ac:dyDescent="0.35">
      <c r="M371" s="250">
        <v>4646</v>
      </c>
      <c r="N371" s="251" t="str">
        <f t="shared" si="50"/>
        <v/>
      </c>
      <c r="O371" s="251" t="str">
        <f t="shared" si="51"/>
        <v/>
      </c>
      <c r="P371" s="251" t="str">
        <f t="shared" si="52"/>
        <v/>
      </c>
      <c r="Q371" s="251" t="str">
        <f t="shared" si="53"/>
        <v/>
      </c>
      <c r="R371" s="251" t="str">
        <f t="shared" si="54"/>
        <v/>
      </c>
      <c r="S371" s="252" t="str">
        <f t="shared" si="55"/>
        <v/>
      </c>
      <c r="T371" s="253"/>
      <c r="U371" s="254">
        <v>0.23899999999999999</v>
      </c>
      <c r="V371" s="254">
        <v>0.23400000000000001</v>
      </c>
      <c r="W371" s="254">
        <v>0.221</v>
      </c>
      <c r="X371" s="254">
        <v>0.20799999999999999</v>
      </c>
      <c r="Y371" s="254">
        <v>0.20399999999999999</v>
      </c>
      <c r="Z371" s="254">
        <v>0.20100000000000001</v>
      </c>
      <c r="AA371" s="249"/>
      <c r="AB371" s="279"/>
      <c r="AC371" s="279"/>
      <c r="AD371" s="279"/>
      <c r="AE371" s="279"/>
      <c r="AF371" s="279"/>
      <c r="AG371" s="279"/>
      <c r="AH371" s="249"/>
      <c r="AI371" s="249"/>
      <c r="AJ371" s="249"/>
      <c r="AK371" s="249"/>
      <c r="AL371" s="249"/>
      <c r="AM371" s="249"/>
      <c r="AN371" s="249"/>
      <c r="AO371" s="249"/>
    </row>
    <row r="372" spans="13:41" x14ac:dyDescent="0.35">
      <c r="M372" s="250">
        <v>5122</v>
      </c>
      <c r="N372" s="251" t="str">
        <f t="shared" si="50"/>
        <v/>
      </c>
      <c r="O372" s="251" t="str">
        <f t="shared" si="51"/>
        <v/>
      </c>
      <c r="P372" s="251" t="str">
        <f t="shared" si="52"/>
        <v/>
      </c>
      <c r="Q372" s="251" t="str">
        <f t="shared" si="53"/>
        <v/>
      </c>
      <c r="R372" s="251" t="str">
        <f t="shared" si="54"/>
        <v/>
      </c>
      <c r="S372" s="252" t="str">
        <f t="shared" si="55"/>
        <v/>
      </c>
      <c r="T372" s="253"/>
      <c r="U372" s="254">
        <v>0.248</v>
      </c>
      <c r="V372" s="254">
        <v>0.24299999999999999</v>
      </c>
      <c r="W372" s="254">
        <v>0.23899999999999999</v>
      </c>
      <c r="X372" s="254">
        <v>0.217</v>
      </c>
      <c r="Y372" s="254">
        <v>0.21299999999999999</v>
      </c>
      <c r="Z372" s="254">
        <v>0.21</v>
      </c>
      <c r="AA372" s="249"/>
      <c r="AB372" s="279"/>
      <c r="AC372" s="279"/>
      <c r="AD372" s="279"/>
      <c r="AE372" s="279"/>
      <c r="AF372" s="279"/>
      <c r="AG372" s="279"/>
      <c r="AH372" s="249"/>
      <c r="AI372" s="249"/>
      <c r="AJ372" s="249"/>
      <c r="AK372" s="249"/>
      <c r="AL372" s="249"/>
      <c r="AM372" s="249"/>
      <c r="AN372" s="249"/>
      <c r="AO372" s="249"/>
    </row>
    <row r="373" spans="13:41" x14ac:dyDescent="0.35">
      <c r="M373" s="250">
        <v>5705</v>
      </c>
      <c r="N373" s="251" t="str">
        <f t="shared" si="50"/>
        <v/>
      </c>
      <c r="O373" s="251" t="str">
        <f t="shared" si="51"/>
        <v/>
      </c>
      <c r="P373" s="251" t="str">
        <f t="shared" si="52"/>
        <v/>
      </c>
      <c r="Q373" s="251" t="str">
        <f t="shared" si="53"/>
        <v/>
      </c>
      <c r="R373" s="251" t="str">
        <f t="shared" si="54"/>
        <v/>
      </c>
      <c r="S373" s="252" t="str">
        <f t="shared" si="55"/>
        <v/>
      </c>
      <c r="T373" s="253"/>
      <c r="U373" s="254">
        <v>0.25700000000000001</v>
      </c>
      <c r="V373" s="254">
        <v>0.251</v>
      </c>
      <c r="W373" s="254">
        <v>0.248</v>
      </c>
      <c r="X373" s="254">
        <v>0.22600000000000001</v>
      </c>
      <c r="Y373" s="254">
        <v>0.222</v>
      </c>
      <c r="Z373" s="254">
        <v>0.219</v>
      </c>
      <c r="AA373" s="249"/>
      <c r="AB373" s="279"/>
      <c r="AC373" s="279"/>
      <c r="AD373" s="279"/>
      <c r="AE373" s="279"/>
      <c r="AF373" s="279"/>
      <c r="AG373" s="279"/>
      <c r="AH373" s="249"/>
      <c r="AI373" s="249"/>
      <c r="AJ373" s="249"/>
      <c r="AK373" s="249"/>
      <c r="AL373" s="249"/>
      <c r="AM373" s="249"/>
      <c r="AN373" s="249"/>
      <c r="AO373" s="249"/>
    </row>
    <row r="374" spans="13:41" x14ac:dyDescent="0.35">
      <c r="M374" s="250">
        <v>6439</v>
      </c>
      <c r="N374" s="251" t="str">
        <f t="shared" si="50"/>
        <v/>
      </c>
      <c r="O374" s="251" t="str">
        <f t="shared" si="51"/>
        <v/>
      </c>
      <c r="P374" s="251" t="str">
        <f t="shared" si="52"/>
        <v/>
      </c>
      <c r="Q374" s="251" t="str">
        <f t="shared" si="53"/>
        <v/>
      </c>
      <c r="R374" s="251" t="str">
        <f t="shared" si="54"/>
        <v/>
      </c>
      <c r="S374" s="252" t="str">
        <f t="shared" si="55"/>
        <v/>
      </c>
      <c r="T374" s="253"/>
      <c r="U374" s="254">
        <v>0.26600000000000001</v>
      </c>
      <c r="V374" s="254">
        <v>0.26</v>
      </c>
      <c r="W374" s="254">
        <v>0.25700000000000001</v>
      </c>
      <c r="X374" s="254">
        <v>0.23499999999999999</v>
      </c>
      <c r="Y374" s="254">
        <v>0.23200000000000001</v>
      </c>
      <c r="Z374" s="254">
        <v>0.22800000000000001</v>
      </c>
      <c r="AA374" s="249"/>
      <c r="AB374" s="279"/>
      <c r="AC374" s="279"/>
      <c r="AD374" s="279"/>
      <c r="AE374" s="279"/>
      <c r="AF374" s="279"/>
      <c r="AG374" s="279"/>
      <c r="AH374" s="249"/>
      <c r="AI374" s="249"/>
      <c r="AJ374" s="249"/>
      <c r="AK374" s="249"/>
      <c r="AL374" s="249"/>
      <c r="AM374" s="249"/>
      <c r="AN374" s="249"/>
      <c r="AO374" s="249"/>
    </row>
    <row r="375" spans="13:41" x14ac:dyDescent="0.35">
      <c r="M375" s="250">
        <v>7389</v>
      </c>
      <c r="N375" s="251" t="str">
        <f t="shared" si="50"/>
        <v/>
      </c>
      <c r="O375" s="251" t="str">
        <f t="shared" si="51"/>
        <v/>
      </c>
      <c r="P375" s="251" t="str">
        <f t="shared" si="52"/>
        <v/>
      </c>
      <c r="Q375" s="251" t="str">
        <f t="shared" si="53"/>
        <v/>
      </c>
      <c r="R375" s="251" t="str">
        <f t="shared" si="54"/>
        <v/>
      </c>
      <c r="S375" s="252" t="str">
        <f t="shared" si="55"/>
        <v/>
      </c>
      <c r="T375" s="253"/>
      <c r="U375" s="254">
        <v>0.29399999999999998</v>
      </c>
      <c r="V375" s="254">
        <v>0.29299999999999998</v>
      </c>
      <c r="W375" s="254">
        <v>0.28899999999999998</v>
      </c>
      <c r="X375" s="254">
        <v>0.26700000000000002</v>
      </c>
      <c r="Y375" s="254">
        <v>0.26600000000000001</v>
      </c>
      <c r="Z375" s="254">
        <v>0.26400000000000001</v>
      </c>
      <c r="AA375" s="249"/>
      <c r="AB375" s="279"/>
      <c r="AC375" s="279"/>
      <c r="AD375" s="279"/>
      <c r="AE375" s="279"/>
      <c r="AF375" s="279"/>
      <c r="AG375" s="279"/>
      <c r="AH375" s="249"/>
      <c r="AI375" s="249"/>
      <c r="AJ375" s="249"/>
      <c r="AK375" s="249"/>
      <c r="AL375" s="249"/>
      <c r="AM375" s="249"/>
      <c r="AN375" s="249"/>
      <c r="AO375" s="249"/>
    </row>
    <row r="376" spans="13:41" x14ac:dyDescent="0.35">
      <c r="M376" s="250">
        <v>8517</v>
      </c>
      <c r="N376" s="251" t="str">
        <f t="shared" si="50"/>
        <v/>
      </c>
      <c r="O376" s="251" t="str">
        <f t="shared" si="51"/>
        <v/>
      </c>
      <c r="P376" s="251" t="str">
        <f t="shared" si="52"/>
        <v/>
      </c>
      <c r="Q376" s="251" t="str">
        <f t="shared" si="53"/>
        <v/>
      </c>
      <c r="R376" s="251" t="str">
        <f t="shared" si="54"/>
        <v/>
      </c>
      <c r="S376" s="252" t="str">
        <f t="shared" si="55"/>
        <v/>
      </c>
      <c r="T376" s="253"/>
      <c r="U376" s="254">
        <v>0.30399999999999999</v>
      </c>
      <c r="V376" s="254">
        <v>0.30299999999999999</v>
      </c>
      <c r="W376" s="254">
        <v>0.30099999999999999</v>
      </c>
      <c r="X376" s="254">
        <v>0.28699999999999998</v>
      </c>
      <c r="Y376" s="254">
        <v>0.27500000000000002</v>
      </c>
      <c r="Z376" s="254">
        <v>0.27300000000000002</v>
      </c>
      <c r="AA376" s="249"/>
      <c r="AB376" s="279"/>
      <c r="AC376" s="279"/>
      <c r="AD376" s="279"/>
      <c r="AE376" s="279"/>
      <c r="AF376" s="279"/>
      <c r="AG376" s="279"/>
      <c r="AH376" s="249"/>
      <c r="AI376" s="249"/>
      <c r="AJ376" s="249"/>
      <c r="AK376" s="249"/>
      <c r="AL376" s="249"/>
      <c r="AM376" s="249"/>
      <c r="AN376" s="249"/>
      <c r="AO376" s="249"/>
    </row>
    <row r="377" spans="13:41" x14ac:dyDescent="0.35">
      <c r="M377" s="250">
        <v>9421</v>
      </c>
      <c r="N377" s="251" t="str">
        <f t="shared" si="50"/>
        <v/>
      </c>
      <c r="O377" s="251" t="str">
        <f t="shared" si="51"/>
        <v/>
      </c>
      <c r="P377" s="251" t="str">
        <f t="shared" si="52"/>
        <v/>
      </c>
      <c r="Q377" s="251" t="str">
        <f t="shared" si="53"/>
        <v/>
      </c>
      <c r="R377" s="251" t="str">
        <f t="shared" si="54"/>
        <v/>
      </c>
      <c r="S377" s="252" t="str">
        <f t="shared" si="55"/>
        <v/>
      </c>
      <c r="T377" s="253"/>
      <c r="U377" s="254">
        <v>0.318</v>
      </c>
      <c r="V377" s="254">
        <v>0.317</v>
      </c>
      <c r="W377" s="254">
        <v>0.316</v>
      </c>
      <c r="X377" s="254">
        <v>0.30399999999999999</v>
      </c>
      <c r="Y377" s="254">
        <v>0.28999999999999998</v>
      </c>
      <c r="Z377" s="254">
        <v>0.28799999999999998</v>
      </c>
      <c r="AA377" s="249"/>
      <c r="AB377" s="279"/>
      <c r="AC377" s="279"/>
      <c r="AD377" s="279"/>
      <c r="AE377" s="279"/>
      <c r="AF377" s="279"/>
      <c r="AG377" s="279"/>
      <c r="AH377" s="249"/>
      <c r="AI377" s="249"/>
      <c r="AJ377" s="249"/>
      <c r="AK377" s="249"/>
      <c r="AL377" s="249"/>
      <c r="AM377" s="249"/>
      <c r="AN377" s="249"/>
      <c r="AO377" s="249"/>
    </row>
    <row r="378" spans="13:41" x14ac:dyDescent="0.35">
      <c r="M378" s="250">
        <v>10543</v>
      </c>
      <c r="N378" s="251" t="str">
        <f t="shared" si="50"/>
        <v/>
      </c>
      <c r="O378" s="251" t="str">
        <f t="shared" si="51"/>
        <v/>
      </c>
      <c r="P378" s="251" t="str">
        <f t="shared" si="52"/>
        <v/>
      </c>
      <c r="Q378" s="251" t="str">
        <f t="shared" si="53"/>
        <v/>
      </c>
      <c r="R378" s="251" t="str">
        <f t="shared" si="54"/>
        <v/>
      </c>
      <c r="S378" s="252" t="str">
        <f t="shared" si="55"/>
        <v/>
      </c>
      <c r="T378" s="253"/>
      <c r="U378" s="254">
        <v>0.32800000000000001</v>
      </c>
      <c r="V378" s="254">
        <v>0.32700000000000001</v>
      </c>
      <c r="W378" s="254">
        <v>0.32500000000000001</v>
      </c>
      <c r="X378" s="254">
        <v>0.314</v>
      </c>
      <c r="Y378" s="254">
        <v>0.312</v>
      </c>
      <c r="Z378" s="254">
        <v>0.29699999999999999</v>
      </c>
      <c r="AA378" s="249"/>
      <c r="AB378" s="279"/>
      <c r="AC378" s="279"/>
      <c r="AD378" s="279"/>
      <c r="AE378" s="279"/>
      <c r="AF378" s="279"/>
      <c r="AG378" s="279"/>
      <c r="AH378" s="249"/>
      <c r="AI378" s="249"/>
      <c r="AJ378" s="249"/>
      <c r="AK378" s="249"/>
      <c r="AL378" s="249"/>
      <c r="AM378" s="249"/>
      <c r="AN378" s="249"/>
      <c r="AO378" s="249"/>
    </row>
    <row r="379" spans="13:41" x14ac:dyDescent="0.35">
      <c r="M379" s="250">
        <v>14140</v>
      </c>
      <c r="N379" s="251" t="str">
        <f t="shared" si="50"/>
        <v/>
      </c>
      <c r="O379" s="251" t="str">
        <f t="shared" si="51"/>
        <v/>
      </c>
      <c r="P379" s="251" t="str">
        <f t="shared" si="52"/>
        <v/>
      </c>
      <c r="Q379" s="251" t="str">
        <f t="shared" si="53"/>
        <v/>
      </c>
      <c r="R379" s="251" t="str">
        <f t="shared" si="54"/>
        <v/>
      </c>
      <c r="S379" s="252" t="str">
        <f t="shared" si="55"/>
        <v/>
      </c>
      <c r="T379" s="253"/>
      <c r="U379" s="254">
        <v>0.34100000000000003</v>
      </c>
      <c r="V379" s="254">
        <v>0.34</v>
      </c>
      <c r="W379" s="254">
        <v>0.33500000000000002</v>
      </c>
      <c r="X379" s="254">
        <v>0.32300000000000001</v>
      </c>
      <c r="Y379" s="254">
        <v>0.32100000000000001</v>
      </c>
      <c r="Z379" s="254">
        <v>0.31</v>
      </c>
      <c r="AA379" s="249"/>
      <c r="AB379" s="279"/>
      <c r="AC379" s="279"/>
      <c r="AD379" s="279"/>
      <c r="AE379" s="279"/>
      <c r="AF379" s="279"/>
      <c r="AG379" s="279"/>
      <c r="AH379" s="249"/>
      <c r="AI379" s="249"/>
      <c r="AJ379" s="249"/>
      <c r="AK379" s="249"/>
      <c r="AL379" s="249"/>
      <c r="AM379" s="249"/>
      <c r="AN379" s="249"/>
      <c r="AO379" s="249"/>
    </row>
    <row r="380" spans="13:41" x14ac:dyDescent="0.35">
      <c r="M380" s="250">
        <v>20300</v>
      </c>
      <c r="N380" s="251" t="str">
        <f t="shared" si="50"/>
        <v/>
      </c>
      <c r="O380" s="251" t="str">
        <f t="shared" si="51"/>
        <v/>
      </c>
      <c r="P380" s="251" t="str">
        <f t="shared" si="52"/>
        <v/>
      </c>
      <c r="Q380" s="251" t="str">
        <f t="shared" si="53"/>
        <v/>
      </c>
      <c r="R380" s="251" t="str">
        <f t="shared" si="54"/>
        <v/>
      </c>
      <c r="S380" s="252" t="str">
        <f t="shared" si="55"/>
        <v/>
      </c>
      <c r="T380" s="253"/>
      <c r="U380" s="254">
        <v>0.36</v>
      </c>
      <c r="V380" s="254">
        <v>0.35899999999999999</v>
      </c>
      <c r="W380" s="254">
        <v>0.35799999999999998</v>
      </c>
      <c r="X380" s="254">
        <v>0.34699999999999998</v>
      </c>
      <c r="Y380" s="254">
        <v>0.34599999999999997</v>
      </c>
      <c r="Z380" s="254">
        <v>0.33400000000000002</v>
      </c>
      <c r="AA380" s="249"/>
      <c r="AB380" s="279"/>
      <c r="AC380" s="279"/>
      <c r="AD380" s="279"/>
      <c r="AE380" s="279"/>
      <c r="AF380" s="279"/>
      <c r="AG380" s="279"/>
      <c r="AH380" s="249"/>
      <c r="AI380" s="249"/>
      <c r="AJ380" s="249"/>
      <c r="AK380" s="249"/>
      <c r="AL380" s="249"/>
      <c r="AM380" s="249"/>
      <c r="AN380" s="249"/>
      <c r="AO380" s="249"/>
    </row>
    <row r="381" spans="13:41" x14ac:dyDescent="0.35">
      <c r="M381" s="250">
        <v>22954</v>
      </c>
      <c r="N381" s="251" t="str">
        <f t="shared" si="50"/>
        <v/>
      </c>
      <c r="O381" s="251" t="str">
        <f t="shared" si="51"/>
        <v/>
      </c>
      <c r="P381" s="251" t="str">
        <f t="shared" si="52"/>
        <v/>
      </c>
      <c r="Q381" s="251" t="str">
        <f t="shared" si="53"/>
        <v/>
      </c>
      <c r="R381" s="251" t="str">
        <f t="shared" si="54"/>
        <v/>
      </c>
      <c r="S381" s="252" t="str">
        <f t="shared" si="55"/>
        <v/>
      </c>
      <c r="T381" s="253"/>
      <c r="U381" s="254">
        <v>0.36899999999999999</v>
      </c>
      <c r="V381" s="254">
        <v>0.36799999999999999</v>
      </c>
      <c r="W381" s="254">
        <v>0.36699999999999999</v>
      </c>
      <c r="X381" s="254">
        <v>0.36099999999999999</v>
      </c>
      <c r="Y381" s="254">
        <v>0.35499999999999998</v>
      </c>
      <c r="Z381" s="254">
        <v>0.34399999999999997</v>
      </c>
      <c r="AA381" s="249"/>
      <c r="AB381" s="279"/>
      <c r="AC381" s="279"/>
      <c r="AD381" s="279"/>
      <c r="AE381" s="279"/>
      <c r="AF381" s="279"/>
      <c r="AG381" s="279"/>
      <c r="AH381" s="249"/>
      <c r="AI381" s="249"/>
      <c r="AJ381" s="249"/>
      <c r="AK381" s="249"/>
      <c r="AL381" s="249"/>
      <c r="AM381" s="249"/>
      <c r="AN381" s="249"/>
      <c r="AO381" s="249"/>
    </row>
    <row r="382" spans="13:41" x14ac:dyDescent="0.35">
      <c r="M382" s="250">
        <v>25504</v>
      </c>
      <c r="N382" s="251" t="str">
        <f t="shared" si="50"/>
        <v/>
      </c>
      <c r="O382" s="251" t="str">
        <f t="shared" si="51"/>
        <v/>
      </c>
      <c r="P382" s="251" t="str">
        <f t="shared" si="52"/>
        <v/>
      </c>
      <c r="Q382" s="251" t="str">
        <f t="shared" si="53"/>
        <v/>
      </c>
      <c r="R382" s="251" t="str">
        <f t="shared" si="54"/>
        <v/>
      </c>
      <c r="S382" s="252" t="str">
        <f t="shared" si="55"/>
        <v/>
      </c>
      <c r="T382" s="253"/>
      <c r="U382" s="254">
        <v>0.379</v>
      </c>
      <c r="V382" s="254">
        <v>0.378</v>
      </c>
      <c r="W382" s="254">
        <v>0.377</v>
      </c>
      <c r="X382" s="254">
        <v>0.37</v>
      </c>
      <c r="Y382" s="254">
        <v>0.36799999999999999</v>
      </c>
      <c r="Z382" s="254">
        <v>0.35299999999999998</v>
      </c>
      <c r="AA382" s="249"/>
      <c r="AB382" s="279"/>
      <c r="AC382" s="279"/>
      <c r="AD382" s="279"/>
      <c r="AE382" s="279"/>
      <c r="AF382" s="279"/>
      <c r="AG382" s="279"/>
      <c r="AH382" s="249"/>
      <c r="AI382" s="249"/>
      <c r="AJ382" s="249"/>
      <c r="AK382" s="249"/>
      <c r="AL382" s="249"/>
      <c r="AM382" s="249"/>
      <c r="AN382" s="249"/>
      <c r="AO382" s="249"/>
    </row>
    <row r="383" spans="13:41" x14ac:dyDescent="0.35">
      <c r="M383" s="250">
        <v>28564</v>
      </c>
      <c r="N383" s="251" t="str">
        <f t="shared" si="50"/>
        <v/>
      </c>
      <c r="O383" s="251" t="str">
        <f t="shared" si="51"/>
        <v/>
      </c>
      <c r="P383" s="251" t="str">
        <f t="shared" si="52"/>
        <v/>
      </c>
      <c r="Q383" s="251" t="str">
        <f t="shared" si="53"/>
        <v/>
      </c>
      <c r="R383" s="251" t="str">
        <f t="shared" si="54"/>
        <v/>
      </c>
      <c r="S383" s="252" t="str">
        <f t="shared" si="55"/>
        <v/>
      </c>
      <c r="T383" s="253"/>
      <c r="U383" s="254">
        <v>0.38900000000000001</v>
      </c>
      <c r="V383" s="254">
        <v>0.38800000000000001</v>
      </c>
      <c r="W383" s="254">
        <v>0.38700000000000001</v>
      </c>
      <c r="X383" s="254">
        <v>0.38</v>
      </c>
      <c r="Y383" s="254">
        <v>0.378</v>
      </c>
      <c r="Z383" s="254">
        <v>0.36599999999999999</v>
      </c>
      <c r="AA383" s="249"/>
      <c r="AB383" s="279"/>
      <c r="AC383" s="279"/>
      <c r="AD383" s="279"/>
      <c r="AE383" s="279"/>
      <c r="AF383" s="279"/>
      <c r="AG383" s="279"/>
      <c r="AH383" s="249"/>
      <c r="AI383" s="249"/>
      <c r="AJ383" s="249"/>
      <c r="AK383" s="249"/>
      <c r="AL383" s="249"/>
      <c r="AM383" s="249"/>
      <c r="AN383" s="249"/>
      <c r="AO383" s="249"/>
    </row>
    <row r="384" spans="13:41" x14ac:dyDescent="0.35">
      <c r="M384" s="250">
        <v>28564</v>
      </c>
      <c r="N384" s="251" t="str">
        <f t="shared" si="50"/>
        <v/>
      </c>
      <c r="O384" s="251" t="str">
        <f t="shared" si="51"/>
        <v/>
      </c>
      <c r="P384" s="251" t="str">
        <f t="shared" si="52"/>
        <v/>
      </c>
      <c r="Q384" s="251" t="str">
        <f t="shared" si="53"/>
        <v/>
      </c>
      <c r="R384" s="251" t="str">
        <f t="shared" si="54"/>
        <v/>
      </c>
      <c r="S384" s="252" t="str">
        <f t="shared" si="55"/>
        <v/>
      </c>
      <c r="T384" s="253"/>
      <c r="U384" s="254">
        <v>0.39900000000000002</v>
      </c>
      <c r="V384" s="254">
        <v>0.39800000000000002</v>
      </c>
      <c r="W384" s="254">
        <v>0.39700000000000002</v>
      </c>
      <c r="X384" s="254">
        <v>0.39</v>
      </c>
      <c r="Y384" s="254">
        <v>0.38800000000000001</v>
      </c>
      <c r="Z384" s="254">
        <v>0.376</v>
      </c>
      <c r="AA384" s="249"/>
      <c r="AB384" s="279"/>
      <c r="AC384" s="279"/>
      <c r="AD384" s="279"/>
      <c r="AE384" s="279"/>
      <c r="AF384" s="279"/>
      <c r="AG384" s="279"/>
      <c r="AH384" s="249"/>
      <c r="AI384" s="249"/>
      <c r="AJ384" s="249"/>
      <c r="AK384" s="249"/>
      <c r="AL384" s="249"/>
      <c r="AM384" s="249"/>
      <c r="AN384" s="249"/>
      <c r="AO384" s="249"/>
    </row>
    <row r="385" spans="13:41" x14ac:dyDescent="0.35">
      <c r="M385" s="250">
        <v>28564</v>
      </c>
      <c r="N385" s="251" t="str">
        <f t="shared" si="50"/>
        <v/>
      </c>
      <c r="O385" s="251" t="str">
        <f t="shared" si="51"/>
        <v/>
      </c>
      <c r="P385" s="251" t="str">
        <f t="shared" si="52"/>
        <v/>
      </c>
      <c r="Q385" s="251" t="str">
        <f t="shared" si="53"/>
        <v/>
      </c>
      <c r="R385" s="251" t="str">
        <f t="shared" si="54"/>
        <v/>
      </c>
      <c r="S385" s="252" t="str">
        <f t="shared" si="55"/>
        <v/>
      </c>
      <c r="T385" s="253"/>
      <c r="U385" s="254">
        <v>0.40300000000000002</v>
      </c>
      <c r="V385" s="254">
        <v>0.40200000000000002</v>
      </c>
      <c r="W385" s="254">
        <v>0.40100000000000002</v>
      </c>
      <c r="X385" s="254">
        <v>0.39400000000000002</v>
      </c>
      <c r="Y385" s="254">
        <v>0.39200000000000002</v>
      </c>
      <c r="Z385" s="254">
        <v>0.38</v>
      </c>
      <c r="AA385" s="249"/>
      <c r="AB385" s="279"/>
      <c r="AC385" s="279"/>
      <c r="AD385" s="279"/>
      <c r="AE385" s="279"/>
      <c r="AF385" s="279"/>
      <c r="AG385" s="279"/>
      <c r="AH385" s="249"/>
      <c r="AI385" s="249"/>
      <c r="AJ385" s="249"/>
      <c r="AK385" s="249"/>
      <c r="AL385" s="249"/>
      <c r="AM385" s="249"/>
      <c r="AN385" s="249"/>
      <c r="AO385" s="249"/>
    </row>
    <row r="386" spans="13:41" x14ac:dyDescent="0.35">
      <c r="M386" s="250">
        <v>28564</v>
      </c>
      <c r="N386" s="251" t="str">
        <f>IF($R$11&gt;=M385+0.01,U386,"")</f>
        <v/>
      </c>
      <c r="O386" s="251" t="str">
        <f>IF($R$11&gt;=M385,V386,"")</f>
        <v/>
      </c>
      <c r="P386" s="251" t="str">
        <f>IF($R$11&gt;=M385,W386,"")</f>
        <v/>
      </c>
      <c r="Q386" s="251" t="str">
        <f>IF($R$11&gt;=M385,X386,"")</f>
        <v/>
      </c>
      <c r="R386" s="252" t="str">
        <f>IF($R$11&gt;=M385,Y386,"")</f>
        <v/>
      </c>
      <c r="S386" s="251" t="str">
        <f>IF($R$11&gt;=M385,Z386,"")</f>
        <v/>
      </c>
      <c r="T386" s="253"/>
      <c r="U386" s="254">
        <v>0.40300000000000002</v>
      </c>
      <c r="V386" s="254">
        <v>0.40200000000000002</v>
      </c>
      <c r="W386" s="254">
        <v>0.40100000000000002</v>
      </c>
      <c r="X386" s="254">
        <v>0.39400000000000002</v>
      </c>
      <c r="Y386" s="254">
        <v>0.39200000000000002</v>
      </c>
      <c r="Z386" s="254">
        <v>0.39</v>
      </c>
      <c r="AA386" s="249"/>
      <c r="AB386" s="279"/>
      <c r="AC386" s="279"/>
      <c r="AD386" s="279"/>
      <c r="AE386" s="279"/>
      <c r="AF386" s="279"/>
      <c r="AG386" s="279"/>
      <c r="AH386" s="249"/>
      <c r="AI386" s="249"/>
      <c r="AJ386" s="249"/>
      <c r="AK386" s="249"/>
      <c r="AL386" s="249"/>
      <c r="AM386" s="249"/>
      <c r="AN386" s="249"/>
      <c r="AO386" s="249"/>
    </row>
    <row r="387" spans="13:41" x14ac:dyDescent="0.35">
      <c r="M387" s="249"/>
      <c r="N387" s="257" t="str">
        <f>IF($A$15=3,IF($A$2=2,IF($I$2=0,SUM(N350:N386),""),""),"")</f>
        <v/>
      </c>
      <c r="O387" s="258" t="str">
        <f>IF($A$15=3,IF($A$2=2,IF($I$2=1,SUM(O350:O386),""),""),"")</f>
        <v/>
      </c>
      <c r="P387" s="258" t="str">
        <f>IF($A$15=3,IF($A$2=2,IF($I$2=2,SUM(P350:P386),""),""),"")</f>
        <v/>
      </c>
      <c r="Q387" s="258" t="str">
        <f>IF($A$15=3,IF($A$2=2,IF($I$2=3,SUM(Q350:Q386),""),""),"")</f>
        <v/>
      </c>
      <c r="R387" s="258" t="str">
        <f>IF($A$15=3,IF($A$2=2,IF($I$2=4,SUM(R350:R386),""),""),"")</f>
        <v/>
      </c>
      <c r="S387" s="259" t="str">
        <f>IF($A$15=3,IF($A$2=2,IF($I$2=5,SUM(S350:S386),""),""),"")</f>
        <v/>
      </c>
      <c r="T387" s="260">
        <f>SUM(N387:S387)</f>
        <v>0</v>
      </c>
      <c r="U387" s="253"/>
      <c r="V387" s="253"/>
      <c r="W387" s="253"/>
      <c r="X387" s="253"/>
      <c r="Y387" s="253"/>
      <c r="Z387" s="253"/>
      <c r="AA387" s="249"/>
      <c r="AB387" s="279"/>
      <c r="AC387" s="279"/>
      <c r="AD387" s="279"/>
      <c r="AE387" s="279"/>
      <c r="AF387" s="279"/>
      <c r="AG387" s="279"/>
      <c r="AH387" s="249"/>
      <c r="AI387" s="249"/>
      <c r="AJ387" s="249"/>
      <c r="AK387" s="249"/>
      <c r="AL387" s="249"/>
      <c r="AM387" s="249"/>
      <c r="AN387" s="249"/>
      <c r="AO387" s="249"/>
    </row>
    <row r="388" spans="13:41" x14ac:dyDescent="0.35">
      <c r="M388" s="249"/>
      <c r="N388" s="249"/>
      <c r="O388" s="249"/>
      <c r="P388" s="261"/>
      <c r="Q388" s="261"/>
      <c r="R388" s="261"/>
      <c r="S388" s="249"/>
      <c r="T388" s="253"/>
      <c r="U388" s="253"/>
      <c r="V388" s="253"/>
      <c r="W388" s="253"/>
      <c r="X388" s="253"/>
      <c r="Y388" s="253"/>
      <c r="Z388" s="253"/>
      <c r="AA388" s="249"/>
      <c r="AB388" s="249"/>
      <c r="AC388" s="249"/>
      <c r="AD388" s="249"/>
      <c r="AE388" s="249"/>
      <c r="AF388" s="249"/>
      <c r="AG388" s="249"/>
      <c r="AH388" s="249"/>
      <c r="AI388" s="249"/>
      <c r="AJ388" s="249"/>
      <c r="AK388" s="249"/>
      <c r="AL388" s="249"/>
      <c r="AM388" s="249"/>
      <c r="AN388" s="249"/>
      <c r="AO388" s="249"/>
    </row>
    <row r="389" spans="13:41" x14ac:dyDescent="0.35">
      <c r="M389" s="262"/>
      <c r="N389" s="249"/>
      <c r="O389" s="249"/>
      <c r="P389" s="249"/>
      <c r="Q389" s="249"/>
      <c r="R389" s="249"/>
      <c r="S389" s="249"/>
      <c r="T389" s="253"/>
      <c r="U389" s="253"/>
      <c r="V389" s="253"/>
      <c r="W389" s="253"/>
      <c r="X389" s="253"/>
      <c r="Y389" s="253"/>
      <c r="Z389" s="253"/>
      <c r="AA389" s="249"/>
      <c r="AB389" s="249"/>
      <c r="AC389" s="249"/>
      <c r="AD389" s="249"/>
      <c r="AE389" s="249"/>
      <c r="AF389" s="249"/>
      <c r="AG389" s="249"/>
      <c r="AH389" s="249"/>
      <c r="AI389" s="249"/>
      <c r="AJ389" s="249"/>
      <c r="AK389" s="249"/>
      <c r="AL389" s="249"/>
      <c r="AM389" s="249"/>
      <c r="AN389" s="249"/>
      <c r="AO389" s="249"/>
    </row>
    <row r="390" spans="13:41" x14ac:dyDescent="0.35">
      <c r="M390" s="249"/>
      <c r="N390" s="249"/>
      <c r="O390" s="249"/>
      <c r="P390" s="249"/>
      <c r="Q390" s="249"/>
      <c r="R390" s="249"/>
      <c r="S390" s="249"/>
      <c r="T390" s="253"/>
      <c r="U390" s="253"/>
      <c r="V390" s="253"/>
      <c r="W390" s="253"/>
      <c r="X390" s="253"/>
      <c r="Y390" s="253"/>
      <c r="Z390" s="253"/>
      <c r="AA390" s="249"/>
      <c r="AB390" s="249"/>
      <c r="AC390" s="249"/>
      <c r="AD390" s="249"/>
      <c r="AE390" s="249"/>
      <c r="AF390" s="249"/>
      <c r="AG390" s="249"/>
      <c r="AH390" s="249"/>
      <c r="AI390" s="249"/>
      <c r="AJ390" s="249"/>
      <c r="AK390" s="249"/>
      <c r="AL390" s="249"/>
      <c r="AM390" s="249"/>
      <c r="AN390" s="249"/>
      <c r="AO390" s="249"/>
    </row>
    <row r="391" spans="13:41" x14ac:dyDescent="0.35">
      <c r="M391" s="263" t="s">
        <v>214</v>
      </c>
      <c r="N391" s="284"/>
      <c r="O391" s="284" t="s">
        <v>257</v>
      </c>
      <c r="P391" s="284"/>
      <c r="Q391" s="284"/>
      <c r="R391" s="284"/>
      <c r="S391" s="285"/>
      <c r="T391" s="253"/>
      <c r="U391" s="286" t="str">
        <f>O391</f>
        <v>Tabelas de IRS de retenção na fonte referente a 2022 na Madeira</v>
      </c>
      <c r="V391" s="253"/>
      <c r="W391" s="253"/>
      <c r="X391" s="253"/>
      <c r="Y391" s="253"/>
      <c r="Z391" s="253"/>
      <c r="AA391" s="249"/>
      <c r="AB391" s="249"/>
      <c r="AC391" s="249"/>
      <c r="AD391" s="249"/>
      <c r="AE391" s="249"/>
      <c r="AF391" s="249"/>
      <c r="AG391" s="249"/>
      <c r="AH391" s="249"/>
      <c r="AI391" s="249"/>
      <c r="AJ391" s="249"/>
      <c r="AK391" s="249"/>
      <c r="AL391" s="249"/>
      <c r="AM391" s="249"/>
      <c r="AN391" s="249"/>
      <c r="AO391" s="249"/>
    </row>
    <row r="392" spans="13:41" x14ac:dyDescent="0.35">
      <c r="M392" s="285"/>
      <c r="N392" s="284"/>
      <c r="O392" s="284" t="s">
        <v>186</v>
      </c>
      <c r="P392" s="285"/>
      <c r="Q392" s="284"/>
      <c r="R392" s="284"/>
      <c r="S392" s="285"/>
      <c r="T392" s="253"/>
      <c r="U392" s="286" t="str">
        <f>O392</f>
        <v>T A B E L A III - TRABALHO DEPENDENTE</v>
      </c>
      <c r="V392" s="253"/>
      <c r="W392" s="253"/>
      <c r="X392" s="253"/>
      <c r="Y392" s="253"/>
      <c r="Z392" s="253"/>
      <c r="AA392" s="249"/>
      <c r="AB392" s="249"/>
      <c r="AC392" s="249"/>
      <c r="AD392" s="249"/>
      <c r="AE392" s="249"/>
      <c r="AF392" s="249"/>
      <c r="AG392" s="249"/>
      <c r="AH392" s="249"/>
      <c r="AI392" s="249"/>
      <c r="AJ392" s="249"/>
      <c r="AK392" s="249"/>
      <c r="AL392" s="249"/>
      <c r="AM392" s="249"/>
      <c r="AN392" s="249"/>
      <c r="AO392" s="249"/>
    </row>
    <row r="393" spans="13:41" x14ac:dyDescent="0.35">
      <c r="M393" s="284"/>
      <c r="N393" s="284"/>
      <c r="O393" s="284" t="s">
        <v>180</v>
      </c>
      <c r="P393" s="285"/>
      <c r="Q393" s="284"/>
      <c r="R393" s="284"/>
      <c r="S393" s="285"/>
      <c r="T393" s="253"/>
      <c r="U393" s="286" t="str">
        <f>O393</f>
        <v>CASADO DOIS TITULARES</v>
      </c>
      <c r="V393" s="253"/>
      <c r="W393" s="253"/>
      <c r="X393" s="253"/>
      <c r="Y393" s="253"/>
      <c r="Z393" s="253"/>
      <c r="AA393" s="249"/>
      <c r="AB393" s="249"/>
      <c r="AC393" s="249"/>
      <c r="AD393" s="249"/>
      <c r="AE393" s="249"/>
      <c r="AF393" s="249"/>
      <c r="AG393" s="249"/>
      <c r="AH393" s="249"/>
      <c r="AI393" s="249"/>
      <c r="AJ393" s="249"/>
      <c r="AK393" s="249"/>
      <c r="AL393" s="249"/>
      <c r="AM393" s="249"/>
      <c r="AN393" s="249"/>
      <c r="AO393" s="249"/>
    </row>
    <row r="394" spans="13:41" x14ac:dyDescent="0.35">
      <c r="M394" s="267" t="s">
        <v>154</v>
      </c>
      <c r="N394" s="268" t="s">
        <v>155</v>
      </c>
      <c r="O394" s="268" t="s">
        <v>156</v>
      </c>
      <c r="P394" s="268" t="s">
        <v>157</v>
      </c>
      <c r="Q394" s="268" t="s">
        <v>158</v>
      </c>
      <c r="R394" s="268" t="s">
        <v>159</v>
      </c>
      <c r="S394" s="268" t="s">
        <v>160</v>
      </c>
      <c r="T394" s="253"/>
      <c r="U394" s="269" t="str">
        <f t="shared" ref="U394:Z394" si="56">N394</f>
        <v>0 dep</v>
      </c>
      <c r="V394" s="269" t="str">
        <f t="shared" si="56"/>
        <v>1 dep</v>
      </c>
      <c r="W394" s="269" t="str">
        <f t="shared" si="56"/>
        <v>2 dep</v>
      </c>
      <c r="X394" s="269" t="str">
        <f t="shared" si="56"/>
        <v>3 dep</v>
      </c>
      <c r="Y394" s="269" t="str">
        <f t="shared" si="56"/>
        <v>4 dep</v>
      </c>
      <c r="Z394" s="269" t="str">
        <f t="shared" si="56"/>
        <v>5 dep. ou +</v>
      </c>
      <c r="AA394" s="249"/>
      <c r="AB394" s="249"/>
      <c r="AC394" s="249"/>
      <c r="AD394" s="249"/>
      <c r="AE394" s="249"/>
      <c r="AF394" s="249"/>
      <c r="AG394" s="249"/>
      <c r="AH394" s="249"/>
      <c r="AI394" s="249"/>
      <c r="AJ394" s="249"/>
      <c r="AK394" s="249"/>
      <c r="AL394" s="249"/>
      <c r="AM394" s="249"/>
      <c r="AN394" s="249"/>
      <c r="AO394" s="249"/>
    </row>
    <row r="395" spans="13:41" x14ac:dyDescent="0.35">
      <c r="M395" s="250">
        <v>725</v>
      </c>
      <c r="N395" s="251" t="str">
        <f>IF($R$11&lt;=M395,IF($R$11&gt;=0,0,""),"")</f>
        <v/>
      </c>
      <c r="O395" s="251" t="str">
        <f>IF($R$11&lt;=M395,IF($R$11&gt;=0,0,""),"")</f>
        <v/>
      </c>
      <c r="P395" s="251" t="str">
        <f>IF($R$11&lt;=M395,IF($R$11&gt;=0,0,""),"")</f>
        <v/>
      </c>
      <c r="Q395" s="251" t="str">
        <f>IF($R$11&lt;=M395,IF($R$11&gt;=0,0,""),"")</f>
        <v/>
      </c>
      <c r="R395" s="251" t="str">
        <f>IF($R$11&lt;=M395,IF($R$11&gt;=0,0,""),"")</f>
        <v/>
      </c>
      <c r="S395" s="251" t="str">
        <f>IF($R$11&lt;=M395,IF($R$11&gt;=0,0,""),"")</f>
        <v/>
      </c>
      <c r="T395" s="253"/>
      <c r="U395" s="254">
        <v>0</v>
      </c>
      <c r="V395" s="254">
        <v>0</v>
      </c>
      <c r="W395" s="254">
        <v>0</v>
      </c>
      <c r="X395" s="254">
        <v>0</v>
      </c>
      <c r="Y395" s="254">
        <v>0</v>
      </c>
      <c r="Z395" s="254">
        <v>0</v>
      </c>
      <c r="AA395" s="249"/>
      <c r="AB395" s="249"/>
      <c r="AC395" s="249"/>
      <c r="AD395" s="249"/>
      <c r="AE395" s="249"/>
      <c r="AF395" s="249"/>
      <c r="AG395" s="249"/>
      <c r="AH395" s="249"/>
      <c r="AI395" s="249"/>
      <c r="AJ395" s="249"/>
      <c r="AK395" s="249"/>
      <c r="AL395" s="249"/>
      <c r="AM395" s="249"/>
      <c r="AN395" s="249"/>
      <c r="AO395" s="249"/>
    </row>
    <row r="396" spans="13:41" x14ac:dyDescent="0.35">
      <c r="M396" s="250">
        <v>740</v>
      </c>
      <c r="N396" s="251" t="str">
        <f t="shared" ref="N396:N431" si="57">IF($R$11&lt;=M396,IF($R$11&gt;=M395+0.01,U396,""),"")</f>
        <v/>
      </c>
      <c r="O396" s="251" t="str">
        <f t="shared" ref="O396:O431" si="58">IF($R$11&lt;=M396,IF($R$11&gt;=M395+0.01,V396,""),"")</f>
        <v/>
      </c>
      <c r="P396" s="251" t="str">
        <f t="shared" ref="P396:P431" si="59">IF($R$11&lt;=M396,IF($R$11&gt;=M395+0.01,W396,""),"")</f>
        <v/>
      </c>
      <c r="Q396" s="251" t="str">
        <f t="shared" ref="Q396:Q431" si="60">IF($R$11&lt;=M396,IF($R$11&gt;=M395+0.01,X396,""),"")</f>
        <v/>
      </c>
      <c r="R396" s="251" t="str">
        <f t="shared" ref="R396:R431" si="61">IF($R$11&lt;=M396,IF($R$11&gt;=M395+0.01,Y396,""),"")</f>
        <v/>
      </c>
      <c r="S396" s="252" t="str">
        <f t="shared" ref="S396:S431" si="62">IF($R$11&lt;=M396,IF($R$11&gt;=M395+0.01,Z396,""),"")</f>
        <v/>
      </c>
      <c r="T396" s="253"/>
      <c r="U396" s="254">
        <v>3.2000000000000001E-2</v>
      </c>
      <c r="V396" s="254">
        <v>2.4E-2</v>
      </c>
      <c r="W396" s="254">
        <v>4.0000000000000001E-3</v>
      </c>
      <c r="X396" s="254">
        <v>0</v>
      </c>
      <c r="Y396" s="254">
        <v>0</v>
      </c>
      <c r="Z396" s="254">
        <v>0</v>
      </c>
      <c r="AA396" s="249"/>
      <c r="AB396" s="279"/>
      <c r="AC396" s="279"/>
      <c r="AD396" s="279"/>
      <c r="AE396" s="279"/>
      <c r="AF396" s="279"/>
      <c r="AG396" s="279"/>
      <c r="AH396" s="249"/>
      <c r="AI396" s="249"/>
      <c r="AJ396" s="249"/>
      <c r="AK396" s="249"/>
      <c r="AL396" s="249"/>
      <c r="AM396" s="249"/>
      <c r="AN396" s="249"/>
      <c r="AO396" s="249"/>
    </row>
    <row r="397" spans="13:41" x14ac:dyDescent="0.35">
      <c r="M397" s="250">
        <v>760</v>
      </c>
      <c r="N397" s="251" t="str">
        <f t="shared" si="57"/>
        <v/>
      </c>
      <c r="O397" s="251" t="str">
        <f t="shared" si="58"/>
        <v/>
      </c>
      <c r="P397" s="251" t="str">
        <f t="shared" si="59"/>
        <v/>
      </c>
      <c r="Q397" s="251" t="str">
        <f t="shared" si="60"/>
        <v/>
      </c>
      <c r="R397" s="251" t="str">
        <f t="shared" si="61"/>
        <v/>
      </c>
      <c r="S397" s="252" t="str">
        <f t="shared" si="62"/>
        <v/>
      </c>
      <c r="T397" s="253"/>
      <c r="U397" s="254">
        <v>3.5000000000000003E-2</v>
      </c>
      <c r="V397" s="254">
        <v>2.5999999999999999E-2</v>
      </c>
      <c r="W397" s="254">
        <v>7.0000000000000001E-3</v>
      </c>
      <c r="X397" s="254">
        <v>0</v>
      </c>
      <c r="Y397" s="254">
        <v>0</v>
      </c>
      <c r="Z397" s="254">
        <v>0</v>
      </c>
      <c r="AA397" s="249"/>
      <c r="AB397" s="279"/>
      <c r="AC397" s="279"/>
      <c r="AD397" s="279"/>
      <c r="AE397" s="279"/>
      <c r="AF397" s="279"/>
      <c r="AG397" s="279"/>
      <c r="AH397" s="249"/>
      <c r="AI397" s="249"/>
      <c r="AJ397" s="249"/>
      <c r="AK397" s="249"/>
      <c r="AL397" s="249"/>
      <c r="AM397" s="249"/>
      <c r="AN397" s="249"/>
      <c r="AO397" s="249"/>
    </row>
    <row r="398" spans="13:41" x14ac:dyDescent="0.35">
      <c r="M398" s="250">
        <v>822</v>
      </c>
      <c r="N398" s="251" t="str">
        <f t="shared" si="57"/>
        <v/>
      </c>
      <c r="O398" s="251" t="str">
        <f t="shared" si="58"/>
        <v/>
      </c>
      <c r="P398" s="251" t="str">
        <f t="shared" si="59"/>
        <v/>
      </c>
      <c r="Q398" s="251" t="str">
        <f t="shared" si="60"/>
        <v/>
      </c>
      <c r="R398" s="251" t="str">
        <f t="shared" si="61"/>
        <v/>
      </c>
      <c r="S398" s="252" t="str">
        <f t="shared" si="62"/>
        <v/>
      </c>
      <c r="T398" s="253"/>
      <c r="U398" s="254">
        <v>5.5E-2</v>
      </c>
      <c r="V398" s="254">
        <v>3.5999999999999997E-2</v>
      </c>
      <c r="W398" s="254">
        <v>2.4E-2</v>
      </c>
      <c r="X398" s="254">
        <v>1.7999999999999999E-2</v>
      </c>
      <c r="Y398" s="254">
        <v>4.0000000000000001E-3</v>
      </c>
      <c r="Z398" s="254">
        <v>0</v>
      </c>
      <c r="AA398" s="249"/>
      <c r="AB398" s="279"/>
      <c r="AC398" s="279"/>
      <c r="AD398" s="279"/>
      <c r="AE398" s="279"/>
      <c r="AF398" s="279"/>
      <c r="AG398" s="279"/>
      <c r="AH398" s="249"/>
      <c r="AI398" s="249"/>
      <c r="AJ398" s="249"/>
      <c r="AK398" s="249"/>
      <c r="AL398" s="249"/>
      <c r="AM398" s="249"/>
      <c r="AN398" s="249"/>
      <c r="AO398" s="249"/>
    </row>
    <row r="399" spans="13:41" x14ac:dyDescent="0.35">
      <c r="M399" s="250">
        <v>931</v>
      </c>
      <c r="N399" s="251" t="str">
        <f t="shared" si="57"/>
        <v/>
      </c>
      <c r="O399" s="251" t="str">
        <f t="shared" si="58"/>
        <v/>
      </c>
      <c r="P399" s="251" t="str">
        <f t="shared" si="59"/>
        <v/>
      </c>
      <c r="Q399" s="251" t="str">
        <f t="shared" si="60"/>
        <v/>
      </c>
      <c r="R399" s="251" t="str">
        <f t="shared" si="61"/>
        <v/>
      </c>
      <c r="S399" s="252" t="str">
        <f t="shared" si="62"/>
        <v/>
      </c>
      <c r="T399" s="253"/>
      <c r="U399" s="254">
        <v>7.0999999999999994E-2</v>
      </c>
      <c r="V399" s="254">
        <v>5.0999999999999997E-2</v>
      </c>
      <c r="W399" s="254">
        <v>4.5999999999999999E-2</v>
      </c>
      <c r="X399" s="254">
        <v>2.7E-2</v>
      </c>
      <c r="Y399" s="254">
        <v>2.1999999999999999E-2</v>
      </c>
      <c r="Z399" s="254">
        <v>8.0000000000000002E-3</v>
      </c>
      <c r="AA399" s="249"/>
      <c r="AB399" s="279"/>
      <c r="AC399" s="279"/>
      <c r="AD399" s="279"/>
      <c r="AE399" s="279"/>
      <c r="AF399" s="279"/>
      <c r="AG399" s="279"/>
      <c r="AH399" s="249"/>
      <c r="AI399" s="249"/>
      <c r="AJ399" s="249"/>
      <c r="AK399" s="249"/>
      <c r="AL399" s="249"/>
      <c r="AM399" s="249"/>
      <c r="AN399" s="249"/>
      <c r="AO399" s="249"/>
    </row>
    <row r="400" spans="13:41" x14ac:dyDescent="0.35">
      <c r="M400" s="250">
        <v>1015</v>
      </c>
      <c r="N400" s="251" t="str">
        <f t="shared" si="57"/>
        <v/>
      </c>
      <c r="O400" s="251" t="str">
        <f t="shared" si="58"/>
        <v/>
      </c>
      <c r="P400" s="251" t="str">
        <f t="shared" si="59"/>
        <v/>
      </c>
      <c r="Q400" s="251" t="str">
        <f t="shared" si="60"/>
        <v/>
      </c>
      <c r="R400" s="251" t="str">
        <f t="shared" si="61"/>
        <v/>
      </c>
      <c r="S400" s="252" t="str">
        <f t="shared" si="62"/>
        <v/>
      </c>
      <c r="T400" s="253"/>
      <c r="U400" s="254">
        <v>7.9000000000000001E-2</v>
      </c>
      <c r="V400" s="254">
        <v>0.06</v>
      </c>
      <c r="W400" s="254">
        <v>5.5E-2</v>
      </c>
      <c r="X400" s="254">
        <v>3.5999999999999997E-2</v>
      </c>
      <c r="Y400" s="254">
        <v>3.1E-2</v>
      </c>
      <c r="Z400" s="254">
        <v>2.1999999999999999E-2</v>
      </c>
      <c r="AA400" s="249"/>
      <c r="AB400" s="279"/>
      <c r="AC400" s="279"/>
      <c r="AD400" s="279"/>
      <c r="AE400" s="279"/>
      <c r="AF400" s="279"/>
      <c r="AG400" s="279"/>
      <c r="AH400" s="249"/>
      <c r="AI400" s="249"/>
      <c r="AJ400" s="249"/>
      <c r="AK400" s="249"/>
      <c r="AL400" s="249"/>
      <c r="AM400" s="249"/>
      <c r="AN400" s="249"/>
      <c r="AO400" s="249"/>
    </row>
    <row r="401" spans="13:41" x14ac:dyDescent="0.35">
      <c r="M401" s="250">
        <v>1075</v>
      </c>
      <c r="N401" s="251" t="str">
        <f t="shared" si="57"/>
        <v/>
      </c>
      <c r="O401" s="251" t="str">
        <f t="shared" si="58"/>
        <v/>
      </c>
      <c r="P401" s="251" t="str">
        <f t="shared" si="59"/>
        <v/>
      </c>
      <c r="Q401" s="251" t="str">
        <f t="shared" si="60"/>
        <v/>
      </c>
      <c r="R401" s="251" t="str">
        <f t="shared" si="61"/>
        <v/>
      </c>
      <c r="S401" s="252" t="str">
        <f t="shared" si="62"/>
        <v/>
      </c>
      <c r="T401" s="253"/>
      <c r="U401" s="254">
        <v>9.1999999999999998E-2</v>
      </c>
      <c r="V401" s="254">
        <v>7.1999999999999995E-2</v>
      </c>
      <c r="W401" s="254">
        <v>6.5000000000000002E-2</v>
      </c>
      <c r="X401" s="254">
        <v>4.5999999999999999E-2</v>
      </c>
      <c r="Y401" s="254">
        <v>3.5999999999999997E-2</v>
      </c>
      <c r="Z401" s="254">
        <v>0.03</v>
      </c>
      <c r="AA401" s="249"/>
      <c r="AB401" s="279"/>
      <c r="AC401" s="279"/>
      <c r="AD401" s="279"/>
      <c r="AE401" s="279"/>
      <c r="AF401" s="279"/>
      <c r="AG401" s="279"/>
      <c r="AH401" s="249"/>
      <c r="AI401" s="249"/>
      <c r="AJ401" s="249"/>
      <c r="AK401" s="249"/>
      <c r="AL401" s="249"/>
      <c r="AM401" s="249"/>
      <c r="AN401" s="249"/>
      <c r="AO401" s="249"/>
    </row>
    <row r="402" spans="13:41" x14ac:dyDescent="0.35">
      <c r="M402" s="250">
        <v>1154</v>
      </c>
      <c r="N402" s="251" t="str">
        <f t="shared" si="57"/>
        <v/>
      </c>
      <c r="O402" s="251" t="str">
        <f t="shared" si="58"/>
        <v/>
      </c>
      <c r="P402" s="251" t="str">
        <f t="shared" si="59"/>
        <v/>
      </c>
      <c r="Q402" s="251" t="str">
        <f t="shared" si="60"/>
        <v/>
      </c>
      <c r="R402" s="251" t="str">
        <f t="shared" si="61"/>
        <v/>
      </c>
      <c r="S402" s="252" t="str">
        <f t="shared" si="62"/>
        <v/>
      </c>
      <c r="T402" s="253"/>
      <c r="U402" s="254">
        <v>9.9000000000000005E-2</v>
      </c>
      <c r="V402" s="254">
        <v>8.6999999999999994E-2</v>
      </c>
      <c r="W402" s="254">
        <v>0.08</v>
      </c>
      <c r="X402" s="254">
        <v>0.06</v>
      </c>
      <c r="Y402" s="254">
        <v>5.3999999999999999E-2</v>
      </c>
      <c r="Z402" s="254">
        <v>0.04</v>
      </c>
      <c r="AA402" s="249"/>
      <c r="AB402" s="279"/>
      <c r="AC402" s="279"/>
      <c r="AD402" s="279"/>
      <c r="AE402" s="279"/>
      <c r="AF402" s="279"/>
      <c r="AG402" s="279"/>
      <c r="AH402" s="249"/>
      <c r="AI402" s="249"/>
      <c r="AJ402" s="249"/>
      <c r="AK402" s="249"/>
      <c r="AL402" s="249"/>
      <c r="AM402" s="249"/>
      <c r="AN402" s="249"/>
      <c r="AO402" s="249"/>
    </row>
    <row r="403" spans="13:41" x14ac:dyDescent="0.35">
      <c r="M403" s="250">
        <v>1237</v>
      </c>
      <c r="N403" s="251" t="str">
        <f t="shared" si="57"/>
        <v/>
      </c>
      <c r="O403" s="251" t="str">
        <f t="shared" si="58"/>
        <v/>
      </c>
      <c r="P403" s="251" t="str">
        <f t="shared" si="59"/>
        <v/>
      </c>
      <c r="Q403" s="251" t="str">
        <f t="shared" si="60"/>
        <v/>
      </c>
      <c r="R403" s="251" t="str">
        <f t="shared" si="61"/>
        <v/>
      </c>
      <c r="S403" s="252" t="str">
        <f t="shared" si="62"/>
        <v/>
      </c>
      <c r="T403" s="253"/>
      <c r="U403" s="254">
        <v>0.107</v>
      </c>
      <c r="V403" s="254">
        <v>9.4E-2</v>
      </c>
      <c r="W403" s="254">
        <v>8.6999999999999994E-2</v>
      </c>
      <c r="X403" s="254">
        <v>6.8000000000000005E-2</v>
      </c>
      <c r="Y403" s="254">
        <v>6.0999999999999999E-2</v>
      </c>
      <c r="Z403" s="254">
        <v>4.8000000000000001E-2</v>
      </c>
      <c r="AA403" s="249"/>
      <c r="AB403" s="279"/>
      <c r="AC403" s="279"/>
      <c r="AD403" s="279"/>
      <c r="AE403" s="279"/>
      <c r="AF403" s="279"/>
      <c r="AG403" s="279"/>
      <c r="AH403" s="249"/>
      <c r="AI403" s="249"/>
      <c r="AJ403" s="249"/>
      <c r="AK403" s="249"/>
      <c r="AL403" s="249"/>
      <c r="AM403" s="249"/>
      <c r="AN403" s="249"/>
      <c r="AO403" s="249"/>
    </row>
    <row r="404" spans="13:41" x14ac:dyDescent="0.35">
      <c r="M404" s="250">
        <v>1333</v>
      </c>
      <c r="N404" s="251" t="str">
        <f t="shared" si="57"/>
        <v/>
      </c>
      <c r="O404" s="251" t="str">
        <f t="shared" si="58"/>
        <v/>
      </c>
      <c r="P404" s="251" t="str">
        <f t="shared" si="59"/>
        <v/>
      </c>
      <c r="Q404" s="251" t="str">
        <f t="shared" si="60"/>
        <v/>
      </c>
      <c r="R404" s="251" t="str">
        <f t="shared" si="61"/>
        <v/>
      </c>
      <c r="S404" s="252" t="str">
        <f t="shared" si="62"/>
        <v/>
      </c>
      <c r="T404" s="253"/>
      <c r="U404" s="254">
        <v>0.115</v>
      </c>
      <c r="V404" s="254">
        <v>0.109</v>
      </c>
      <c r="W404" s="254">
        <v>9.6000000000000002E-2</v>
      </c>
      <c r="X404" s="254">
        <v>8.1000000000000003E-2</v>
      </c>
      <c r="Y404" s="254">
        <v>6.8000000000000005E-2</v>
      </c>
      <c r="Z404" s="254">
        <v>6.2E-2</v>
      </c>
      <c r="AA404" s="249"/>
      <c r="AB404" s="279"/>
      <c r="AC404" s="279"/>
      <c r="AD404" s="279"/>
      <c r="AE404" s="279"/>
      <c r="AF404" s="279"/>
      <c r="AG404" s="279"/>
      <c r="AH404" s="249"/>
      <c r="AI404" s="249"/>
      <c r="AJ404" s="249"/>
      <c r="AK404" s="249"/>
      <c r="AL404" s="249"/>
      <c r="AM404" s="249"/>
      <c r="AN404" s="249"/>
      <c r="AO404" s="249"/>
    </row>
    <row r="405" spans="13:41" x14ac:dyDescent="0.35">
      <c r="M405" s="250">
        <v>1437</v>
      </c>
      <c r="N405" s="251" t="str">
        <f t="shared" si="57"/>
        <v/>
      </c>
      <c r="O405" s="251" t="str">
        <f t="shared" si="58"/>
        <v/>
      </c>
      <c r="P405" s="251" t="str">
        <f t="shared" si="59"/>
        <v/>
      </c>
      <c r="Q405" s="251" t="str">
        <f t="shared" si="60"/>
        <v/>
      </c>
      <c r="R405" s="251" t="str">
        <f t="shared" si="61"/>
        <v/>
      </c>
      <c r="S405" s="252" t="str">
        <f t="shared" si="62"/>
        <v/>
      </c>
      <c r="T405" s="253"/>
      <c r="U405" s="254">
        <v>0.122</v>
      </c>
      <c r="V405" s="254">
        <v>0.11600000000000001</v>
      </c>
      <c r="W405" s="254">
        <v>0.10299999999999999</v>
      </c>
      <c r="X405" s="254">
        <v>0.09</v>
      </c>
      <c r="Y405" s="254">
        <v>7.5999999999999998E-2</v>
      </c>
      <c r="Z405" s="254">
        <v>7.0000000000000007E-2</v>
      </c>
      <c r="AA405" s="249"/>
      <c r="AB405" s="279"/>
      <c r="AC405" s="279"/>
      <c r="AD405" s="279"/>
      <c r="AE405" s="279"/>
      <c r="AF405" s="279"/>
      <c r="AG405" s="279"/>
      <c r="AH405" s="249"/>
      <c r="AI405" s="249"/>
      <c r="AJ405" s="249"/>
      <c r="AK405" s="249"/>
      <c r="AL405" s="249"/>
      <c r="AM405" s="249"/>
      <c r="AN405" s="249"/>
      <c r="AO405" s="249"/>
    </row>
    <row r="406" spans="13:41" x14ac:dyDescent="0.35">
      <c r="M406" s="250">
        <v>1577</v>
      </c>
      <c r="N406" s="251" t="str">
        <f t="shared" si="57"/>
        <v/>
      </c>
      <c r="O406" s="251" t="str">
        <f t="shared" si="58"/>
        <v/>
      </c>
      <c r="P406" s="251" t="str">
        <f t="shared" si="59"/>
        <v/>
      </c>
      <c r="Q406" s="251" t="str">
        <f t="shared" si="60"/>
        <v/>
      </c>
      <c r="R406" s="251" t="str">
        <f t="shared" si="61"/>
        <v/>
      </c>
      <c r="S406" s="252" t="str">
        <f t="shared" si="62"/>
        <v/>
      </c>
      <c r="T406" s="253"/>
      <c r="U406" s="254">
        <v>0.13</v>
      </c>
      <c r="V406" s="254">
        <v>0.125</v>
      </c>
      <c r="W406" s="254">
        <v>0.111</v>
      </c>
      <c r="X406" s="254">
        <v>9.7000000000000003E-2</v>
      </c>
      <c r="Y406" s="254">
        <v>8.4000000000000005E-2</v>
      </c>
      <c r="Z406" s="254">
        <v>7.6999999999999999E-2</v>
      </c>
      <c r="AA406" s="249"/>
      <c r="AB406" s="279"/>
      <c r="AC406" s="279"/>
      <c r="AD406" s="279"/>
      <c r="AE406" s="279"/>
      <c r="AF406" s="279"/>
      <c r="AG406" s="279"/>
      <c r="AH406" s="249"/>
      <c r="AI406" s="249"/>
      <c r="AJ406" s="249"/>
      <c r="AK406" s="249"/>
      <c r="AL406" s="249"/>
      <c r="AM406" s="249"/>
      <c r="AN406" s="249"/>
      <c r="AO406" s="249"/>
    </row>
    <row r="407" spans="13:41" x14ac:dyDescent="0.35">
      <c r="M407" s="250">
        <v>1727</v>
      </c>
      <c r="N407" s="251">
        <f t="shared" si="57"/>
        <v>0.14000000000000001</v>
      </c>
      <c r="O407" s="251">
        <f t="shared" si="58"/>
        <v>0.13400000000000001</v>
      </c>
      <c r="P407" s="251">
        <f t="shared" si="59"/>
        <v>0.122</v>
      </c>
      <c r="Q407" s="251">
        <f t="shared" si="60"/>
        <v>0.109</v>
      </c>
      <c r="R407" s="251">
        <f t="shared" si="61"/>
        <v>0.10199999999999999</v>
      </c>
      <c r="S407" s="252">
        <f t="shared" si="62"/>
        <v>8.8999999999999996E-2</v>
      </c>
      <c r="T407" s="253"/>
      <c r="U407" s="254">
        <v>0.14000000000000001</v>
      </c>
      <c r="V407" s="254">
        <v>0.13400000000000001</v>
      </c>
      <c r="W407" s="254">
        <v>0.122</v>
      </c>
      <c r="X407" s="254">
        <v>0.109</v>
      </c>
      <c r="Y407" s="254">
        <v>0.10199999999999999</v>
      </c>
      <c r="Z407" s="254">
        <v>8.8999999999999996E-2</v>
      </c>
      <c r="AA407" s="249"/>
      <c r="AB407" s="279"/>
      <c r="AC407" s="279"/>
      <c r="AD407" s="279"/>
      <c r="AE407" s="279"/>
      <c r="AF407" s="279"/>
      <c r="AG407" s="279"/>
      <c r="AH407" s="249"/>
      <c r="AI407" s="249"/>
      <c r="AJ407" s="249"/>
      <c r="AK407" s="249"/>
      <c r="AL407" s="249"/>
      <c r="AM407" s="249"/>
      <c r="AN407" s="249"/>
      <c r="AO407" s="249"/>
    </row>
    <row r="408" spans="13:41" x14ac:dyDescent="0.35">
      <c r="M408" s="250">
        <v>1887</v>
      </c>
      <c r="N408" s="251" t="str">
        <f t="shared" si="57"/>
        <v/>
      </c>
      <c r="O408" s="251" t="str">
        <f t="shared" si="58"/>
        <v/>
      </c>
      <c r="P408" s="251" t="str">
        <f t="shared" si="59"/>
        <v/>
      </c>
      <c r="Q408" s="251" t="str">
        <f t="shared" si="60"/>
        <v/>
      </c>
      <c r="R408" s="251" t="str">
        <f t="shared" si="61"/>
        <v/>
      </c>
      <c r="S408" s="252" t="str">
        <f t="shared" si="62"/>
        <v/>
      </c>
      <c r="T408" s="253"/>
      <c r="U408" s="254">
        <v>0.156</v>
      </c>
      <c r="V408" s="254">
        <v>0.151</v>
      </c>
      <c r="W408" s="254">
        <v>0.13800000000000001</v>
      </c>
      <c r="X408" s="254">
        <v>0.125</v>
      </c>
      <c r="Y408" s="254">
        <v>0.11899999999999999</v>
      </c>
      <c r="Z408" s="254">
        <v>0.106</v>
      </c>
      <c r="AA408" s="249"/>
      <c r="AB408" s="279"/>
      <c r="AC408" s="279"/>
      <c r="AD408" s="279"/>
      <c r="AE408" s="279"/>
      <c r="AF408" s="279"/>
      <c r="AG408" s="279"/>
      <c r="AH408" s="249"/>
      <c r="AI408" s="249"/>
      <c r="AJ408" s="249"/>
      <c r="AK408" s="249"/>
      <c r="AL408" s="249"/>
      <c r="AM408" s="249"/>
      <c r="AN408" s="249"/>
      <c r="AO408" s="249"/>
    </row>
    <row r="409" spans="13:41" x14ac:dyDescent="0.35">
      <c r="M409" s="250">
        <v>1995</v>
      </c>
      <c r="N409" s="251" t="str">
        <f t="shared" si="57"/>
        <v/>
      </c>
      <c r="O409" s="251" t="str">
        <f t="shared" si="58"/>
        <v/>
      </c>
      <c r="P409" s="251" t="str">
        <f t="shared" si="59"/>
        <v/>
      </c>
      <c r="Q409" s="251" t="str">
        <f t="shared" si="60"/>
        <v/>
      </c>
      <c r="R409" s="251" t="str">
        <f t="shared" si="61"/>
        <v/>
      </c>
      <c r="S409" s="252" t="str">
        <f t="shared" si="62"/>
        <v/>
      </c>
      <c r="T409" s="253"/>
      <c r="U409" s="254">
        <v>0.16400000000000001</v>
      </c>
      <c r="V409" s="254">
        <v>0.16</v>
      </c>
      <c r="W409" s="254">
        <v>0.14499999999999999</v>
      </c>
      <c r="X409" s="254">
        <v>0.13200000000000001</v>
      </c>
      <c r="Y409" s="254">
        <v>0.126</v>
      </c>
      <c r="Z409" s="254">
        <v>0.114</v>
      </c>
      <c r="AA409" s="249"/>
      <c r="AB409" s="279"/>
      <c r="AC409" s="279"/>
      <c r="AD409" s="279"/>
      <c r="AE409" s="279"/>
      <c r="AF409" s="279"/>
      <c r="AG409" s="279"/>
      <c r="AH409" s="249"/>
      <c r="AI409" s="249"/>
      <c r="AJ409" s="249"/>
      <c r="AK409" s="249"/>
      <c r="AL409" s="249"/>
      <c r="AM409" s="249"/>
      <c r="AN409" s="249"/>
      <c r="AO409" s="249"/>
    </row>
    <row r="410" spans="13:41" x14ac:dyDescent="0.35">
      <c r="M410" s="250">
        <v>2109</v>
      </c>
      <c r="N410" s="251" t="str">
        <f t="shared" si="57"/>
        <v/>
      </c>
      <c r="O410" s="251" t="str">
        <f t="shared" si="58"/>
        <v/>
      </c>
      <c r="P410" s="251" t="str">
        <f t="shared" si="59"/>
        <v/>
      </c>
      <c r="Q410" s="251" t="str">
        <f t="shared" si="60"/>
        <v/>
      </c>
      <c r="R410" s="251" t="str">
        <f t="shared" si="61"/>
        <v/>
      </c>
      <c r="S410" s="252" t="str">
        <f t="shared" si="62"/>
        <v/>
      </c>
      <c r="T410" s="253"/>
      <c r="U410" s="254">
        <v>0.183</v>
      </c>
      <c r="V410" s="254">
        <v>0.17899999999999999</v>
      </c>
      <c r="W410" s="254">
        <v>0.16400000000000001</v>
      </c>
      <c r="X410" s="254">
        <v>0.14799999999999999</v>
      </c>
      <c r="Y410" s="254">
        <v>0.14199999999999999</v>
      </c>
      <c r="Z410" s="254">
        <v>0.13600000000000001</v>
      </c>
      <c r="AA410" s="249"/>
      <c r="AB410" s="279"/>
      <c r="AC410" s="279"/>
      <c r="AD410" s="279"/>
      <c r="AE410" s="279"/>
      <c r="AF410" s="279"/>
      <c r="AG410" s="279"/>
      <c r="AH410" s="249"/>
      <c r="AI410" s="249"/>
      <c r="AJ410" s="249"/>
      <c r="AK410" s="249"/>
      <c r="AL410" s="249"/>
      <c r="AM410" s="249"/>
      <c r="AN410" s="249"/>
      <c r="AO410" s="249"/>
    </row>
    <row r="411" spans="13:41" x14ac:dyDescent="0.35">
      <c r="M411" s="250">
        <v>2238</v>
      </c>
      <c r="N411" s="251" t="str">
        <f t="shared" si="57"/>
        <v/>
      </c>
      <c r="O411" s="251" t="str">
        <f t="shared" si="58"/>
        <v/>
      </c>
      <c r="P411" s="251" t="str">
        <f t="shared" si="59"/>
        <v/>
      </c>
      <c r="Q411" s="251" t="str">
        <f t="shared" si="60"/>
        <v/>
      </c>
      <c r="R411" s="251" t="str">
        <f t="shared" si="61"/>
        <v/>
      </c>
      <c r="S411" s="252" t="str">
        <f t="shared" si="62"/>
        <v/>
      </c>
      <c r="T411" s="253"/>
      <c r="U411" s="254">
        <v>0.191</v>
      </c>
      <c r="V411" s="254">
        <v>0.186</v>
      </c>
      <c r="W411" s="254">
        <v>0.17299999999999999</v>
      </c>
      <c r="X411" s="254">
        <v>0.158</v>
      </c>
      <c r="Y411" s="254">
        <v>0.15</v>
      </c>
      <c r="Z411" s="254">
        <v>0.14499999999999999</v>
      </c>
      <c r="AA411" s="249"/>
      <c r="AB411" s="279"/>
      <c r="AC411" s="279"/>
      <c r="AD411" s="279"/>
      <c r="AE411" s="279"/>
      <c r="AF411" s="279"/>
      <c r="AG411" s="279"/>
      <c r="AH411" s="249"/>
      <c r="AI411" s="249"/>
      <c r="AJ411" s="249"/>
      <c r="AK411" s="249"/>
      <c r="AL411" s="249"/>
      <c r="AM411" s="249"/>
      <c r="AN411" s="249"/>
      <c r="AO411" s="249"/>
    </row>
    <row r="412" spans="13:41" x14ac:dyDescent="0.35">
      <c r="M412" s="250">
        <v>2389</v>
      </c>
      <c r="N412" s="251" t="str">
        <f t="shared" si="57"/>
        <v/>
      </c>
      <c r="O412" s="251" t="str">
        <f t="shared" si="58"/>
        <v/>
      </c>
      <c r="P412" s="251" t="str">
        <f t="shared" si="59"/>
        <v/>
      </c>
      <c r="Q412" s="251" t="str">
        <f t="shared" si="60"/>
        <v/>
      </c>
      <c r="R412" s="251" t="str">
        <f t="shared" si="61"/>
        <v/>
      </c>
      <c r="S412" s="252" t="str">
        <f t="shared" si="62"/>
        <v/>
      </c>
      <c r="T412" s="253"/>
      <c r="U412" s="254">
        <v>0.19900000000000001</v>
      </c>
      <c r="V412" s="254">
        <v>0.19600000000000001</v>
      </c>
      <c r="W412" s="254">
        <v>0.189</v>
      </c>
      <c r="X412" s="254">
        <v>0.16600000000000001</v>
      </c>
      <c r="Y412" s="254">
        <v>0.16</v>
      </c>
      <c r="Z412" s="254">
        <v>0.152</v>
      </c>
      <c r="AA412" s="249"/>
      <c r="AB412" s="279"/>
      <c r="AC412" s="279"/>
      <c r="AD412" s="279"/>
      <c r="AE412" s="279"/>
      <c r="AF412" s="279"/>
      <c r="AG412" s="279"/>
      <c r="AH412" s="249"/>
      <c r="AI412" s="249"/>
      <c r="AJ412" s="249"/>
      <c r="AK412" s="249"/>
      <c r="AL412" s="249"/>
      <c r="AM412" s="249"/>
      <c r="AN412" s="249"/>
      <c r="AO412" s="249"/>
    </row>
    <row r="413" spans="13:41" x14ac:dyDescent="0.35">
      <c r="M413" s="250">
        <v>2558</v>
      </c>
      <c r="N413" s="251" t="str">
        <f t="shared" si="57"/>
        <v/>
      </c>
      <c r="O413" s="251" t="str">
        <f t="shared" si="58"/>
        <v/>
      </c>
      <c r="P413" s="251" t="str">
        <f t="shared" si="59"/>
        <v/>
      </c>
      <c r="Q413" s="251" t="str">
        <f t="shared" si="60"/>
        <v/>
      </c>
      <c r="R413" s="251" t="str">
        <f t="shared" si="61"/>
        <v/>
      </c>
      <c r="S413" s="252" t="str">
        <f t="shared" si="62"/>
        <v/>
      </c>
      <c r="T413" s="253"/>
      <c r="U413" s="254">
        <v>0.20699999999999999</v>
      </c>
      <c r="V413" s="254">
        <v>0.20399999999999999</v>
      </c>
      <c r="W413" s="254">
        <v>0.19700000000000001</v>
      </c>
      <c r="X413" s="254">
        <v>0.17599999999999999</v>
      </c>
      <c r="Y413" s="254">
        <v>0.16900000000000001</v>
      </c>
      <c r="Z413" s="254">
        <v>0.16200000000000001</v>
      </c>
      <c r="AA413" s="249"/>
      <c r="AB413" s="279"/>
      <c r="AC413" s="279"/>
      <c r="AD413" s="279"/>
      <c r="AE413" s="279"/>
      <c r="AF413" s="279"/>
      <c r="AG413" s="279"/>
      <c r="AH413" s="249"/>
      <c r="AI413" s="249"/>
      <c r="AJ413" s="249"/>
      <c r="AK413" s="249"/>
      <c r="AL413" s="249"/>
      <c r="AM413" s="249"/>
      <c r="AN413" s="249"/>
      <c r="AO413" s="249"/>
    </row>
    <row r="414" spans="13:41" x14ac:dyDescent="0.35">
      <c r="M414" s="250">
        <v>2792</v>
      </c>
      <c r="N414" s="251" t="str">
        <f t="shared" si="57"/>
        <v/>
      </c>
      <c r="O414" s="251" t="str">
        <f t="shared" si="58"/>
        <v/>
      </c>
      <c r="P414" s="251" t="str">
        <f t="shared" si="59"/>
        <v/>
      </c>
      <c r="Q414" s="251" t="str">
        <f t="shared" si="60"/>
        <v/>
      </c>
      <c r="R414" s="251" t="str">
        <f t="shared" si="61"/>
        <v/>
      </c>
      <c r="S414" s="252" t="str">
        <f t="shared" si="62"/>
        <v/>
      </c>
      <c r="T414" s="253"/>
      <c r="U414" s="254">
        <v>0.215</v>
      </c>
      <c r="V414" s="254">
        <v>0.21099999999999999</v>
      </c>
      <c r="W414" s="254">
        <v>0.20599999999999999</v>
      </c>
      <c r="X414" s="254">
        <v>0.183</v>
      </c>
      <c r="Y414" s="254">
        <v>0.17699999999999999</v>
      </c>
      <c r="Z414" s="254">
        <v>0.17</v>
      </c>
      <c r="AA414" s="249"/>
      <c r="AB414" s="279"/>
      <c r="AC414" s="279"/>
      <c r="AD414" s="279"/>
      <c r="AE414" s="279"/>
      <c r="AF414" s="279"/>
      <c r="AG414" s="279"/>
      <c r="AH414" s="249"/>
      <c r="AI414" s="249"/>
      <c r="AJ414" s="249"/>
      <c r="AK414" s="249"/>
      <c r="AL414" s="249"/>
      <c r="AM414" s="249"/>
      <c r="AN414" s="249"/>
      <c r="AO414" s="249"/>
    </row>
    <row r="415" spans="13:41" x14ac:dyDescent="0.35">
      <c r="M415" s="250">
        <v>3132</v>
      </c>
      <c r="N415" s="251" t="str">
        <f t="shared" si="57"/>
        <v/>
      </c>
      <c r="O415" s="251" t="str">
        <f t="shared" si="58"/>
        <v/>
      </c>
      <c r="P415" s="251" t="str">
        <f t="shared" si="59"/>
        <v/>
      </c>
      <c r="Q415" s="251" t="str">
        <f t="shared" si="60"/>
        <v/>
      </c>
      <c r="R415" s="251" t="str">
        <f t="shared" si="61"/>
        <v/>
      </c>
      <c r="S415" s="252" t="str">
        <f t="shared" si="62"/>
        <v/>
      </c>
      <c r="T415" s="253"/>
      <c r="U415" s="254">
        <v>0.248</v>
      </c>
      <c r="V415" s="254">
        <v>0.245</v>
      </c>
      <c r="W415" s="254">
        <v>0.23699999999999999</v>
      </c>
      <c r="X415" s="254">
        <v>0.21299999999999999</v>
      </c>
      <c r="Y415" s="254">
        <v>0.20599999999999999</v>
      </c>
      <c r="Z415" s="254">
        <v>0.19900000000000001</v>
      </c>
      <c r="AA415" s="249"/>
      <c r="AB415" s="279"/>
      <c r="AC415" s="279"/>
      <c r="AD415" s="279"/>
      <c r="AE415" s="279"/>
      <c r="AF415" s="279"/>
      <c r="AG415" s="279"/>
      <c r="AH415" s="249"/>
      <c r="AI415" s="249"/>
      <c r="AJ415" s="249"/>
      <c r="AK415" s="249"/>
      <c r="AL415" s="249"/>
      <c r="AM415" s="249"/>
      <c r="AN415" s="249"/>
      <c r="AO415" s="249"/>
    </row>
    <row r="416" spans="13:41" x14ac:dyDescent="0.35">
      <c r="M416" s="250">
        <v>3566</v>
      </c>
      <c r="N416" s="251" t="str">
        <f t="shared" si="57"/>
        <v/>
      </c>
      <c r="O416" s="251" t="str">
        <f t="shared" si="58"/>
        <v/>
      </c>
      <c r="P416" s="251" t="str">
        <f t="shared" si="59"/>
        <v/>
      </c>
      <c r="Q416" s="251" t="str">
        <f t="shared" si="60"/>
        <v/>
      </c>
      <c r="R416" s="251" t="str">
        <f t="shared" si="61"/>
        <v/>
      </c>
      <c r="S416" s="252" t="str">
        <f t="shared" si="62"/>
        <v/>
      </c>
      <c r="T416" s="253"/>
      <c r="U416" s="254">
        <v>0.26300000000000001</v>
      </c>
      <c r="V416" s="254">
        <v>0.26200000000000001</v>
      </c>
      <c r="W416" s="254">
        <v>0.25800000000000001</v>
      </c>
      <c r="X416" s="254">
        <v>0.23699999999999999</v>
      </c>
      <c r="Y416" s="254">
        <v>0.23400000000000001</v>
      </c>
      <c r="Z416" s="254">
        <v>0.23</v>
      </c>
      <c r="AA416" s="249"/>
      <c r="AB416" s="279"/>
      <c r="AC416" s="279"/>
      <c r="AD416" s="279"/>
      <c r="AE416" s="279"/>
      <c r="AF416" s="279"/>
      <c r="AG416" s="279"/>
      <c r="AH416" s="249"/>
      <c r="AI416" s="249"/>
      <c r="AJ416" s="249"/>
      <c r="AK416" s="249"/>
      <c r="AL416" s="249"/>
      <c r="AM416" s="249"/>
      <c r="AN416" s="249"/>
      <c r="AO416" s="249"/>
    </row>
    <row r="417" spans="13:41" x14ac:dyDescent="0.35">
      <c r="M417" s="250">
        <v>4156</v>
      </c>
      <c r="N417" s="251" t="str">
        <f t="shared" si="57"/>
        <v/>
      </c>
      <c r="O417" s="251" t="str">
        <f t="shared" si="58"/>
        <v/>
      </c>
      <c r="P417" s="251" t="str">
        <f t="shared" si="59"/>
        <v/>
      </c>
      <c r="Q417" s="251" t="str">
        <f t="shared" si="60"/>
        <v/>
      </c>
      <c r="R417" s="251" t="str">
        <f t="shared" si="61"/>
        <v/>
      </c>
      <c r="S417" s="252" t="str">
        <f t="shared" si="62"/>
        <v/>
      </c>
      <c r="T417" s="253"/>
      <c r="U417" s="254">
        <v>0.27300000000000002</v>
      </c>
      <c r="V417" s="254">
        <v>0.27200000000000002</v>
      </c>
      <c r="W417" s="254">
        <v>0.26800000000000002</v>
      </c>
      <c r="X417" s="254">
        <v>0.255</v>
      </c>
      <c r="Y417" s="254">
        <v>0.24299999999999999</v>
      </c>
      <c r="Z417" s="254">
        <v>0.23899999999999999</v>
      </c>
      <c r="AA417" s="249"/>
      <c r="AB417" s="279"/>
      <c r="AC417" s="279"/>
      <c r="AD417" s="279"/>
      <c r="AE417" s="279"/>
      <c r="AF417" s="279"/>
      <c r="AG417" s="279"/>
      <c r="AH417" s="249"/>
      <c r="AI417" s="249"/>
      <c r="AJ417" s="249"/>
      <c r="AK417" s="249"/>
      <c r="AL417" s="249"/>
      <c r="AM417" s="249"/>
      <c r="AN417" s="249"/>
      <c r="AO417" s="249"/>
    </row>
    <row r="418" spans="13:41" x14ac:dyDescent="0.35">
      <c r="M418" s="250">
        <v>4692</v>
      </c>
      <c r="N418" s="251" t="str">
        <f t="shared" si="57"/>
        <v/>
      </c>
      <c r="O418" s="251" t="str">
        <f t="shared" si="58"/>
        <v/>
      </c>
      <c r="P418" s="251" t="str">
        <f t="shared" si="59"/>
        <v/>
      </c>
      <c r="Q418" s="251" t="str">
        <f t="shared" si="60"/>
        <v/>
      </c>
      <c r="R418" s="251" t="str">
        <f t="shared" si="61"/>
        <v/>
      </c>
      <c r="S418" s="252" t="str">
        <f t="shared" si="62"/>
        <v/>
      </c>
      <c r="T418" s="253"/>
      <c r="U418" s="254">
        <v>0.28999999999999998</v>
      </c>
      <c r="V418" s="254">
        <v>0.28699999999999998</v>
      </c>
      <c r="W418" s="254">
        <v>0.28299999999999997</v>
      </c>
      <c r="X418" s="254">
        <v>0.26800000000000002</v>
      </c>
      <c r="Y418" s="254">
        <v>0.25600000000000001</v>
      </c>
      <c r="Z418" s="254">
        <v>0.252</v>
      </c>
      <c r="AA418" s="249"/>
      <c r="AB418" s="279"/>
      <c r="AC418" s="279"/>
      <c r="AD418" s="279"/>
      <c r="AE418" s="279"/>
      <c r="AF418" s="279"/>
      <c r="AG418" s="279"/>
      <c r="AH418" s="249"/>
      <c r="AI418" s="249"/>
      <c r="AJ418" s="249"/>
      <c r="AK418" s="249"/>
      <c r="AL418" s="249"/>
      <c r="AM418" s="249"/>
      <c r="AN418" s="249"/>
      <c r="AO418" s="249"/>
    </row>
    <row r="419" spans="13:41" x14ac:dyDescent="0.35">
      <c r="M419" s="250">
        <v>5241</v>
      </c>
      <c r="N419" s="251" t="str">
        <f t="shared" si="57"/>
        <v/>
      </c>
      <c r="O419" s="251" t="str">
        <f t="shared" si="58"/>
        <v/>
      </c>
      <c r="P419" s="251" t="str">
        <f t="shared" si="59"/>
        <v/>
      </c>
      <c r="Q419" s="251" t="str">
        <f t="shared" si="60"/>
        <v/>
      </c>
      <c r="R419" s="251" t="str">
        <f t="shared" si="61"/>
        <v/>
      </c>
      <c r="S419" s="252" t="str">
        <f t="shared" si="62"/>
        <v/>
      </c>
      <c r="T419" s="253"/>
      <c r="U419" s="254">
        <v>0.29799999999999999</v>
      </c>
      <c r="V419" s="254">
        <v>0.29499999999999998</v>
      </c>
      <c r="W419" s="254">
        <v>0.29199999999999998</v>
      </c>
      <c r="X419" s="254">
        <v>0.28000000000000003</v>
      </c>
      <c r="Y419" s="254">
        <v>0.27300000000000002</v>
      </c>
      <c r="Z419" s="254">
        <v>0.26100000000000001</v>
      </c>
      <c r="AA419" s="249"/>
      <c r="AB419" s="279"/>
      <c r="AC419" s="279"/>
      <c r="AD419" s="279"/>
      <c r="AE419" s="279"/>
      <c r="AF419" s="279"/>
      <c r="AG419" s="279"/>
      <c r="AH419" s="249"/>
      <c r="AI419" s="249"/>
      <c r="AJ419" s="249"/>
      <c r="AK419" s="249"/>
      <c r="AL419" s="249"/>
      <c r="AM419" s="249"/>
      <c r="AN419" s="249"/>
      <c r="AO419" s="249"/>
    </row>
    <row r="420" spans="13:41" x14ac:dyDescent="0.35">
      <c r="M420" s="250">
        <v>5933</v>
      </c>
      <c r="N420" s="251" t="str">
        <f t="shared" si="57"/>
        <v/>
      </c>
      <c r="O420" s="251" t="str">
        <f t="shared" si="58"/>
        <v/>
      </c>
      <c r="P420" s="251" t="str">
        <f t="shared" si="59"/>
        <v/>
      </c>
      <c r="Q420" s="251" t="str">
        <f t="shared" si="60"/>
        <v/>
      </c>
      <c r="R420" s="251" t="str">
        <f t="shared" si="61"/>
        <v/>
      </c>
      <c r="S420" s="252" t="str">
        <f t="shared" si="62"/>
        <v/>
      </c>
      <c r="T420" s="253"/>
      <c r="U420" s="254">
        <v>0.307</v>
      </c>
      <c r="V420" s="254">
        <v>0.30499999999999999</v>
      </c>
      <c r="W420" s="254">
        <v>0.30099999999999999</v>
      </c>
      <c r="X420" s="254">
        <v>0.28899999999999998</v>
      </c>
      <c r="Y420" s="254">
        <v>0.28499999999999998</v>
      </c>
      <c r="Z420" s="254">
        <v>0.27</v>
      </c>
      <c r="AA420" s="249"/>
      <c r="AB420" s="279"/>
      <c r="AC420" s="279"/>
      <c r="AD420" s="279"/>
      <c r="AE420" s="279"/>
      <c r="AF420" s="279"/>
      <c r="AG420" s="279"/>
      <c r="AH420" s="249"/>
      <c r="AI420" s="249"/>
      <c r="AJ420" s="249"/>
      <c r="AK420" s="249"/>
      <c r="AL420" s="249"/>
      <c r="AM420" s="249"/>
      <c r="AN420" s="249"/>
      <c r="AO420" s="249"/>
    </row>
    <row r="421" spans="13:41" x14ac:dyDescent="0.35">
      <c r="M421" s="250">
        <v>6788</v>
      </c>
      <c r="N421" s="251" t="str">
        <f t="shared" si="57"/>
        <v/>
      </c>
      <c r="O421" s="251" t="str">
        <f t="shared" si="58"/>
        <v/>
      </c>
      <c r="P421" s="251" t="str">
        <f t="shared" si="59"/>
        <v/>
      </c>
      <c r="Q421" s="251" t="str">
        <f t="shared" si="60"/>
        <v/>
      </c>
      <c r="R421" s="251" t="str">
        <f t="shared" si="61"/>
        <v/>
      </c>
      <c r="S421" s="252" t="str">
        <f t="shared" si="62"/>
        <v/>
      </c>
      <c r="T421" s="253"/>
      <c r="U421" s="254">
        <v>0.34799999999999998</v>
      </c>
      <c r="V421" s="254">
        <v>0.34699999999999998</v>
      </c>
      <c r="W421" s="254">
        <v>0.34200000000000003</v>
      </c>
      <c r="X421" s="254">
        <v>0.33500000000000002</v>
      </c>
      <c r="Y421" s="254">
        <v>0.33300000000000002</v>
      </c>
      <c r="Z421" s="254">
        <v>0.33100000000000002</v>
      </c>
      <c r="AA421" s="249"/>
      <c r="AB421" s="279"/>
      <c r="AC421" s="279"/>
      <c r="AD421" s="279"/>
      <c r="AE421" s="279"/>
      <c r="AF421" s="279"/>
      <c r="AG421" s="279"/>
      <c r="AH421" s="249"/>
      <c r="AI421" s="249"/>
      <c r="AJ421" s="249"/>
      <c r="AK421" s="249"/>
      <c r="AL421" s="249"/>
      <c r="AM421" s="249"/>
      <c r="AN421" s="249"/>
      <c r="AO421" s="249"/>
    </row>
    <row r="422" spans="13:41" x14ac:dyDescent="0.35">
      <c r="M422" s="250">
        <v>8011</v>
      </c>
      <c r="N422" s="251" t="str">
        <f t="shared" si="57"/>
        <v/>
      </c>
      <c r="O422" s="251" t="str">
        <f t="shared" si="58"/>
        <v/>
      </c>
      <c r="P422" s="251" t="str">
        <f t="shared" si="59"/>
        <v/>
      </c>
      <c r="Q422" s="251" t="str">
        <f t="shared" si="60"/>
        <v/>
      </c>
      <c r="R422" s="251" t="str">
        <f t="shared" si="61"/>
        <v/>
      </c>
      <c r="S422" s="252" t="str">
        <f t="shared" si="62"/>
        <v/>
      </c>
      <c r="T422" s="253"/>
      <c r="U422" s="254">
        <v>0.35799999999999998</v>
      </c>
      <c r="V422" s="254">
        <v>0.35599999999999998</v>
      </c>
      <c r="W422" s="254">
        <v>0.35399999999999998</v>
      </c>
      <c r="X422" s="254">
        <v>0.34399999999999997</v>
      </c>
      <c r="Y422" s="254">
        <v>0.34300000000000003</v>
      </c>
      <c r="Z422" s="254">
        <v>0.34100000000000003</v>
      </c>
      <c r="AA422" s="249"/>
      <c r="AB422" s="279"/>
      <c r="AC422" s="279"/>
      <c r="AD422" s="279"/>
      <c r="AE422" s="279"/>
      <c r="AF422" s="279"/>
      <c r="AG422" s="279"/>
      <c r="AH422" s="249"/>
      <c r="AI422" s="249"/>
      <c r="AJ422" s="249"/>
      <c r="AK422" s="249"/>
      <c r="AL422" s="249"/>
      <c r="AM422" s="249"/>
      <c r="AN422" s="249"/>
      <c r="AO422" s="249"/>
    </row>
    <row r="423" spans="13:41" x14ac:dyDescent="0.35">
      <c r="M423" s="250">
        <v>9647</v>
      </c>
      <c r="N423" s="251" t="str">
        <f t="shared" si="57"/>
        <v/>
      </c>
      <c r="O423" s="251" t="str">
        <f t="shared" si="58"/>
        <v/>
      </c>
      <c r="P423" s="251" t="str">
        <f t="shared" si="59"/>
        <v/>
      </c>
      <c r="Q423" s="251" t="str">
        <f t="shared" si="60"/>
        <v/>
      </c>
      <c r="R423" s="251" t="str">
        <f t="shared" si="61"/>
        <v/>
      </c>
      <c r="S423" s="252" t="str">
        <f t="shared" si="62"/>
        <v/>
      </c>
      <c r="T423" s="253"/>
      <c r="U423" s="254">
        <v>0.377</v>
      </c>
      <c r="V423" s="254">
        <v>0.375</v>
      </c>
      <c r="W423" s="254">
        <v>0.373</v>
      </c>
      <c r="X423" s="254">
        <v>0.36199999999999999</v>
      </c>
      <c r="Y423" s="254">
        <v>0.36</v>
      </c>
      <c r="Z423" s="254">
        <v>0.35899999999999999</v>
      </c>
      <c r="AA423" s="249"/>
      <c r="AB423" s="279"/>
      <c r="AC423" s="279"/>
      <c r="AD423" s="279"/>
      <c r="AE423" s="279"/>
      <c r="AF423" s="279"/>
      <c r="AG423" s="279"/>
      <c r="AH423" s="249"/>
      <c r="AI423" s="249"/>
      <c r="AJ423" s="249"/>
      <c r="AK423" s="249"/>
      <c r="AL423" s="249"/>
      <c r="AM423" s="249"/>
      <c r="AN423" s="249"/>
      <c r="AO423" s="249"/>
    </row>
    <row r="424" spans="13:41" x14ac:dyDescent="0.35">
      <c r="M424" s="250">
        <v>11384</v>
      </c>
      <c r="N424" s="251" t="str">
        <f t="shared" si="57"/>
        <v/>
      </c>
      <c r="O424" s="251" t="str">
        <f t="shared" si="58"/>
        <v/>
      </c>
      <c r="P424" s="251" t="str">
        <f t="shared" si="59"/>
        <v/>
      </c>
      <c r="Q424" s="251" t="str">
        <f t="shared" si="60"/>
        <v/>
      </c>
      <c r="R424" s="251" t="str">
        <f t="shared" si="61"/>
        <v/>
      </c>
      <c r="S424" s="252" t="str">
        <f t="shared" si="62"/>
        <v/>
      </c>
      <c r="T424" s="253"/>
      <c r="U424" s="254">
        <v>0.38700000000000001</v>
      </c>
      <c r="V424" s="254">
        <v>0.38500000000000001</v>
      </c>
      <c r="W424" s="254">
        <v>0.38300000000000001</v>
      </c>
      <c r="X424" s="254">
        <v>0.376</v>
      </c>
      <c r="Y424" s="254">
        <v>0.37</v>
      </c>
      <c r="Z424" s="254">
        <v>0.36799999999999999</v>
      </c>
      <c r="AA424" s="249"/>
      <c r="AB424" s="279"/>
      <c r="AC424" s="279"/>
      <c r="AD424" s="279"/>
      <c r="AE424" s="279"/>
      <c r="AF424" s="279"/>
      <c r="AG424" s="279"/>
      <c r="AH424" s="249"/>
      <c r="AI424" s="249"/>
      <c r="AJ424" s="249"/>
      <c r="AK424" s="249"/>
      <c r="AL424" s="249"/>
      <c r="AM424" s="249"/>
      <c r="AN424" s="249"/>
      <c r="AO424" s="249"/>
    </row>
    <row r="425" spans="13:41" x14ac:dyDescent="0.35">
      <c r="M425" s="250">
        <v>19024</v>
      </c>
      <c r="N425" s="251" t="str">
        <f t="shared" si="57"/>
        <v/>
      </c>
      <c r="O425" s="251" t="str">
        <f t="shared" si="58"/>
        <v/>
      </c>
      <c r="P425" s="251" t="str">
        <f t="shared" si="59"/>
        <v/>
      </c>
      <c r="Q425" s="251" t="str">
        <f t="shared" si="60"/>
        <v/>
      </c>
      <c r="R425" s="251" t="str">
        <f t="shared" si="61"/>
        <v/>
      </c>
      <c r="S425" s="252" t="str">
        <f t="shared" si="62"/>
        <v/>
      </c>
      <c r="T425" s="253"/>
      <c r="U425" s="254">
        <v>0.39700000000000002</v>
      </c>
      <c r="V425" s="254">
        <v>0.39500000000000002</v>
      </c>
      <c r="W425" s="254">
        <v>0.39300000000000002</v>
      </c>
      <c r="X425" s="254">
        <v>0.38600000000000001</v>
      </c>
      <c r="Y425" s="254">
        <v>0.38400000000000001</v>
      </c>
      <c r="Z425" s="254">
        <v>0.378</v>
      </c>
      <c r="AA425" s="249"/>
      <c r="AB425" s="279"/>
      <c r="AC425" s="279"/>
      <c r="AD425" s="279"/>
      <c r="AE425" s="279"/>
      <c r="AF425" s="279"/>
      <c r="AG425" s="279"/>
      <c r="AH425" s="249"/>
      <c r="AI425" s="249"/>
      <c r="AJ425" s="249"/>
      <c r="AK425" s="249"/>
      <c r="AL425" s="249"/>
      <c r="AM425" s="249"/>
      <c r="AN425" s="249"/>
      <c r="AO425" s="249"/>
    </row>
    <row r="426" spans="13:41" x14ac:dyDescent="0.35">
      <c r="M426" s="250">
        <v>20403</v>
      </c>
      <c r="N426" s="251" t="str">
        <f t="shared" si="57"/>
        <v/>
      </c>
      <c r="O426" s="251" t="str">
        <f t="shared" si="58"/>
        <v/>
      </c>
      <c r="P426" s="251" t="str">
        <f t="shared" si="59"/>
        <v/>
      </c>
      <c r="Q426" s="251" t="str">
        <f t="shared" si="60"/>
        <v/>
      </c>
      <c r="R426" s="251" t="str">
        <f t="shared" si="61"/>
        <v/>
      </c>
      <c r="S426" s="252" t="str">
        <f t="shared" si="62"/>
        <v/>
      </c>
      <c r="T426" s="253"/>
      <c r="U426" s="254">
        <v>0.40699999999999997</v>
      </c>
      <c r="V426" s="254">
        <v>0.40500000000000003</v>
      </c>
      <c r="W426" s="254">
        <v>0.40300000000000002</v>
      </c>
      <c r="X426" s="254">
        <v>0.39600000000000002</v>
      </c>
      <c r="Y426" s="254">
        <v>0.39400000000000002</v>
      </c>
      <c r="Z426" s="254">
        <v>0.38800000000000001</v>
      </c>
      <c r="AA426" s="249"/>
      <c r="AB426" s="279"/>
      <c r="AC426" s="279"/>
      <c r="AD426" s="279"/>
      <c r="AE426" s="279"/>
      <c r="AF426" s="279"/>
      <c r="AG426" s="279"/>
      <c r="AH426" s="249"/>
      <c r="AI426" s="249"/>
      <c r="AJ426" s="249"/>
      <c r="AK426" s="249"/>
      <c r="AL426" s="249"/>
      <c r="AM426" s="249"/>
      <c r="AN426" s="249"/>
      <c r="AO426" s="249"/>
    </row>
    <row r="427" spans="13:41" x14ac:dyDescent="0.35">
      <c r="M427" s="250">
        <v>22954</v>
      </c>
      <c r="N427" s="251" t="str">
        <f t="shared" si="57"/>
        <v/>
      </c>
      <c r="O427" s="251" t="str">
        <f t="shared" si="58"/>
        <v/>
      </c>
      <c r="P427" s="251" t="str">
        <f t="shared" si="59"/>
        <v/>
      </c>
      <c r="Q427" s="251" t="str">
        <f t="shared" si="60"/>
        <v/>
      </c>
      <c r="R427" s="251" t="str">
        <f t="shared" si="61"/>
        <v/>
      </c>
      <c r="S427" s="252" t="str">
        <f t="shared" si="62"/>
        <v/>
      </c>
      <c r="T427" s="253"/>
      <c r="U427" s="254">
        <v>0.41399999999999998</v>
      </c>
      <c r="V427" s="254">
        <v>0.41299999999999998</v>
      </c>
      <c r="W427" s="254">
        <v>0.41199999999999998</v>
      </c>
      <c r="X427" s="254">
        <v>0.40600000000000003</v>
      </c>
      <c r="Y427" s="254">
        <v>0.40400000000000003</v>
      </c>
      <c r="Z427" s="254">
        <v>0.4</v>
      </c>
      <c r="AA427" s="249"/>
      <c r="AB427" s="279"/>
      <c r="AC427" s="279"/>
      <c r="AD427" s="279"/>
      <c r="AE427" s="279"/>
      <c r="AF427" s="279"/>
      <c r="AG427" s="279"/>
      <c r="AH427" s="249"/>
      <c r="AI427" s="249"/>
      <c r="AJ427" s="249"/>
      <c r="AK427" s="249"/>
      <c r="AL427" s="249"/>
      <c r="AM427" s="249"/>
      <c r="AN427" s="249"/>
      <c r="AO427" s="249"/>
    </row>
    <row r="428" spans="13:41" x14ac:dyDescent="0.35">
      <c r="M428" s="250">
        <v>25504</v>
      </c>
      <c r="N428" s="251" t="str">
        <f t="shared" si="57"/>
        <v/>
      </c>
      <c r="O428" s="251" t="str">
        <f t="shared" si="58"/>
        <v/>
      </c>
      <c r="P428" s="251" t="str">
        <f t="shared" si="59"/>
        <v/>
      </c>
      <c r="Q428" s="251" t="str">
        <f t="shared" si="60"/>
        <v/>
      </c>
      <c r="R428" s="251" t="str">
        <f t="shared" si="61"/>
        <v/>
      </c>
      <c r="S428" s="252" t="str">
        <f t="shared" si="62"/>
        <v/>
      </c>
      <c r="T428" s="253"/>
      <c r="U428" s="254">
        <v>0.42399999999999999</v>
      </c>
      <c r="V428" s="254">
        <v>0.42299999999999999</v>
      </c>
      <c r="W428" s="254">
        <v>0.42199999999999999</v>
      </c>
      <c r="X428" s="254">
        <v>0.41499999999999998</v>
      </c>
      <c r="Y428" s="254">
        <v>0.41299999999999998</v>
      </c>
      <c r="Z428" s="254">
        <v>0.41099999999999998</v>
      </c>
      <c r="AA428" s="249"/>
      <c r="AB428" s="279"/>
      <c r="AC428" s="279"/>
      <c r="AD428" s="279"/>
      <c r="AE428" s="279"/>
      <c r="AF428" s="279"/>
      <c r="AG428" s="279"/>
      <c r="AH428" s="249"/>
      <c r="AI428" s="249"/>
      <c r="AJ428" s="249"/>
      <c r="AK428" s="249"/>
      <c r="AL428" s="249"/>
      <c r="AM428" s="249"/>
      <c r="AN428" s="249"/>
      <c r="AO428" s="249"/>
    </row>
    <row r="429" spans="13:41" x14ac:dyDescent="0.35">
      <c r="M429" s="250">
        <v>25504</v>
      </c>
      <c r="N429" s="251" t="str">
        <f t="shared" si="57"/>
        <v/>
      </c>
      <c r="O429" s="251" t="str">
        <f t="shared" si="58"/>
        <v/>
      </c>
      <c r="P429" s="251" t="str">
        <f t="shared" si="59"/>
        <v/>
      </c>
      <c r="Q429" s="251" t="str">
        <f t="shared" si="60"/>
        <v/>
      </c>
      <c r="R429" s="251" t="str">
        <f t="shared" si="61"/>
        <v/>
      </c>
      <c r="S429" s="252" t="str">
        <f t="shared" si="62"/>
        <v/>
      </c>
      <c r="T429" s="253"/>
      <c r="U429" s="254">
        <v>0.434</v>
      </c>
      <c r="V429" s="254">
        <v>0.433</v>
      </c>
      <c r="W429" s="254">
        <v>0.432</v>
      </c>
      <c r="X429" s="254">
        <v>0.42499999999999999</v>
      </c>
      <c r="Y429" s="254">
        <v>0.42299999999999999</v>
      </c>
      <c r="Z429" s="254">
        <v>0.42099999999999999</v>
      </c>
      <c r="AA429" s="249"/>
      <c r="AB429" s="279"/>
      <c r="AC429" s="279"/>
      <c r="AD429" s="279"/>
      <c r="AE429" s="279"/>
      <c r="AF429" s="279"/>
      <c r="AG429" s="279"/>
      <c r="AH429" s="249"/>
      <c r="AI429" s="249"/>
      <c r="AJ429" s="249"/>
      <c r="AK429" s="249"/>
      <c r="AL429" s="249"/>
      <c r="AM429" s="249"/>
      <c r="AN429" s="249"/>
      <c r="AO429" s="249"/>
    </row>
    <row r="430" spans="13:41" x14ac:dyDescent="0.35">
      <c r="M430" s="250">
        <v>25504</v>
      </c>
      <c r="N430" s="251" t="str">
        <f t="shared" si="57"/>
        <v/>
      </c>
      <c r="O430" s="251" t="str">
        <f t="shared" si="58"/>
        <v/>
      </c>
      <c r="P430" s="251" t="str">
        <f t="shared" si="59"/>
        <v/>
      </c>
      <c r="Q430" s="251" t="str">
        <f t="shared" si="60"/>
        <v/>
      </c>
      <c r="R430" s="251" t="str">
        <f t="shared" si="61"/>
        <v/>
      </c>
      <c r="S430" s="252" t="str">
        <f t="shared" si="62"/>
        <v/>
      </c>
      <c r="T430" s="253"/>
      <c r="U430" s="254">
        <v>0.434</v>
      </c>
      <c r="V430" s="254">
        <v>0.433</v>
      </c>
      <c r="W430" s="254">
        <v>0.432</v>
      </c>
      <c r="X430" s="254">
        <v>0.42499999999999999</v>
      </c>
      <c r="Y430" s="254">
        <v>0.42299999999999999</v>
      </c>
      <c r="Z430" s="254">
        <v>0.42099999999999999</v>
      </c>
      <c r="AA430" s="249"/>
      <c r="AB430" s="279"/>
      <c r="AC430" s="279"/>
      <c r="AD430" s="279"/>
      <c r="AE430" s="279"/>
      <c r="AF430" s="279"/>
      <c r="AG430" s="279"/>
      <c r="AH430" s="249"/>
      <c r="AI430" s="249"/>
      <c r="AJ430" s="249"/>
      <c r="AK430" s="249"/>
      <c r="AL430" s="249"/>
      <c r="AM430" s="249"/>
      <c r="AN430" s="249"/>
      <c r="AO430" s="249"/>
    </row>
    <row r="431" spans="13:41" x14ac:dyDescent="0.35">
      <c r="M431" s="250">
        <v>25504</v>
      </c>
      <c r="N431" s="251" t="str">
        <f t="shared" si="57"/>
        <v/>
      </c>
      <c r="O431" s="251" t="str">
        <f t="shared" si="58"/>
        <v/>
      </c>
      <c r="P431" s="251" t="str">
        <f t="shared" si="59"/>
        <v/>
      </c>
      <c r="Q431" s="251" t="str">
        <f t="shared" si="60"/>
        <v/>
      </c>
      <c r="R431" s="251" t="str">
        <f t="shared" si="61"/>
        <v/>
      </c>
      <c r="S431" s="252" t="str">
        <f t="shared" si="62"/>
        <v/>
      </c>
      <c r="T431" s="253"/>
      <c r="U431" s="254">
        <v>0.434</v>
      </c>
      <c r="V431" s="254">
        <v>0.433</v>
      </c>
      <c r="W431" s="254">
        <v>0.432</v>
      </c>
      <c r="X431" s="254">
        <v>0.42499999999999999</v>
      </c>
      <c r="Y431" s="254">
        <v>0.42299999999999999</v>
      </c>
      <c r="Z431" s="254">
        <v>0.42099999999999999</v>
      </c>
      <c r="AA431" s="249"/>
      <c r="AB431" s="279"/>
      <c r="AC431" s="279"/>
      <c r="AD431" s="279"/>
      <c r="AE431" s="279"/>
      <c r="AF431" s="279"/>
      <c r="AG431" s="279"/>
      <c r="AH431" s="249"/>
      <c r="AI431" s="249"/>
      <c r="AJ431" s="249"/>
      <c r="AK431" s="249"/>
      <c r="AL431" s="249"/>
      <c r="AM431" s="249"/>
      <c r="AN431" s="249"/>
      <c r="AO431" s="249"/>
    </row>
    <row r="432" spans="13:41" x14ac:dyDescent="0.35">
      <c r="M432" s="250">
        <v>25504</v>
      </c>
      <c r="N432" s="251" t="str">
        <f>IF($R$11&gt;=M431+0.01,U432,"")</f>
        <v/>
      </c>
      <c r="O432" s="251" t="str">
        <f>IF($R$11&gt;=M431,V432,"")</f>
        <v/>
      </c>
      <c r="P432" s="251" t="str">
        <f>IF($R$11&gt;=M431,W432,"")</f>
        <v/>
      </c>
      <c r="Q432" s="251" t="str">
        <f>IF($R$11&gt;=M431,X432,"")</f>
        <v/>
      </c>
      <c r="R432" s="252" t="str">
        <f>IF($R$11&gt;=M431,Y432,"")</f>
        <v/>
      </c>
      <c r="S432" s="251" t="str">
        <f>IF($R$11&gt;=M431,Z432,"")</f>
        <v/>
      </c>
      <c r="T432" s="253"/>
      <c r="U432" s="254">
        <v>0.434</v>
      </c>
      <c r="V432" s="254">
        <v>0.433</v>
      </c>
      <c r="W432" s="254">
        <v>0.432</v>
      </c>
      <c r="X432" s="254">
        <v>0.42499999999999999</v>
      </c>
      <c r="Y432" s="254">
        <v>0.42299999999999999</v>
      </c>
      <c r="Z432" s="254">
        <v>0.42099999999999999</v>
      </c>
      <c r="AA432" s="249"/>
      <c r="AB432" s="279"/>
      <c r="AC432" s="279"/>
      <c r="AD432" s="279"/>
      <c r="AE432" s="279"/>
      <c r="AF432" s="279"/>
      <c r="AG432" s="279"/>
      <c r="AH432" s="249"/>
      <c r="AI432" s="249"/>
      <c r="AJ432" s="249"/>
      <c r="AK432" s="249"/>
      <c r="AL432" s="249"/>
      <c r="AM432" s="249"/>
      <c r="AN432" s="249"/>
      <c r="AO432" s="249"/>
    </row>
    <row r="433" spans="13:41" x14ac:dyDescent="0.35">
      <c r="M433" s="249"/>
      <c r="N433" s="257" t="str">
        <f>IF($A$15=3,IF($A$2=3,IF($I$2=0,SUM(N395:N432),""),""),"")</f>
        <v/>
      </c>
      <c r="O433" s="258" t="str">
        <f>IF($A$15=3,IF($A$2=3,IF($I$2=1,SUM(O395:O432),""),""),"")</f>
        <v/>
      </c>
      <c r="P433" s="258" t="str">
        <f>IF($A$15=3,IF($A$2=3,IF($I$2=2,SUM(P395:P432),""),""),"")</f>
        <v/>
      </c>
      <c r="Q433" s="258" t="str">
        <f>IF($A$15=3,IF($A$2=3,IF($I$2=3,SUM(Q395:Q432),""),""),"")</f>
        <v/>
      </c>
      <c r="R433" s="258" t="str">
        <f>IF($A$15=3,IF($A$2=3,IF($I$2=4,SUM(R395:R432),""),""),"")</f>
        <v/>
      </c>
      <c r="S433" s="259" t="str">
        <f>IF($A$15=3,IF($A$2=3,IF($I$2=5,SUM(S395:S432),""),""),"")</f>
        <v/>
      </c>
      <c r="T433" s="260">
        <f>SUM(N433:S433)</f>
        <v>0</v>
      </c>
      <c r="U433" s="253"/>
      <c r="V433" s="253"/>
      <c r="W433" s="253"/>
      <c r="X433" s="253"/>
      <c r="Y433" s="253"/>
      <c r="Z433" s="253"/>
      <c r="AA433" s="249"/>
      <c r="AB433" s="279"/>
      <c r="AC433" s="279"/>
      <c r="AD433" s="279"/>
      <c r="AE433" s="279"/>
      <c r="AF433" s="279"/>
      <c r="AG433" s="279"/>
      <c r="AH433" s="249"/>
      <c r="AI433" s="249"/>
      <c r="AJ433" s="249"/>
      <c r="AK433" s="249"/>
      <c r="AL433" s="249"/>
      <c r="AM433" s="249"/>
      <c r="AN433" s="249"/>
      <c r="AO433" s="249"/>
    </row>
    <row r="434" spans="13:41" x14ac:dyDescent="0.35">
      <c r="M434" s="249"/>
      <c r="N434" s="249"/>
      <c r="O434" s="249"/>
      <c r="P434" s="249"/>
      <c r="Q434" s="249"/>
      <c r="R434" s="249"/>
      <c r="S434" s="249"/>
      <c r="T434" s="253"/>
      <c r="U434" s="253"/>
      <c r="V434" s="253"/>
      <c r="W434" s="253"/>
      <c r="X434" s="253"/>
      <c r="Y434" s="253"/>
      <c r="Z434" s="253"/>
      <c r="AA434" s="249"/>
      <c r="AB434" s="249"/>
      <c r="AC434" s="249"/>
      <c r="AD434" s="249"/>
      <c r="AE434" s="249"/>
      <c r="AF434" s="249"/>
      <c r="AG434" s="249"/>
      <c r="AH434" s="249"/>
      <c r="AI434" s="249"/>
      <c r="AJ434" s="249"/>
      <c r="AK434" s="249"/>
      <c r="AL434" s="249"/>
      <c r="AM434" s="249"/>
      <c r="AN434" s="249"/>
      <c r="AO434" s="249"/>
    </row>
    <row r="435" spans="13:41" x14ac:dyDescent="0.35">
      <c r="M435" s="249"/>
      <c r="N435" s="249"/>
      <c r="O435" s="249"/>
      <c r="P435" s="249"/>
      <c r="Q435" s="249"/>
      <c r="R435" s="249"/>
      <c r="S435" s="249"/>
      <c r="T435" s="253"/>
      <c r="U435" s="253"/>
      <c r="V435" s="253"/>
      <c r="W435" s="253"/>
      <c r="X435" s="253"/>
      <c r="Y435" s="253"/>
      <c r="Z435" s="253"/>
      <c r="AA435" s="249"/>
      <c r="AB435" s="249"/>
      <c r="AC435" s="249"/>
      <c r="AD435" s="249"/>
      <c r="AE435" s="249"/>
      <c r="AF435" s="249"/>
      <c r="AG435" s="249"/>
      <c r="AH435" s="249"/>
      <c r="AI435" s="249"/>
      <c r="AJ435" s="249"/>
      <c r="AK435" s="249"/>
      <c r="AL435" s="249"/>
      <c r="AM435" s="249"/>
      <c r="AN435" s="249"/>
      <c r="AO435" s="249"/>
    </row>
    <row r="436" spans="13:41" x14ac:dyDescent="0.35">
      <c r="M436" s="249"/>
      <c r="N436" s="249"/>
      <c r="O436" s="249"/>
      <c r="P436" s="249"/>
      <c r="Q436" s="249"/>
      <c r="R436" s="249"/>
      <c r="S436" s="249"/>
      <c r="T436" s="253"/>
      <c r="U436" s="253"/>
      <c r="V436" s="253"/>
      <c r="W436" s="253"/>
      <c r="X436" s="253"/>
      <c r="Y436" s="253"/>
      <c r="Z436" s="253"/>
      <c r="AA436" s="249"/>
      <c r="AB436" s="249"/>
      <c r="AC436" s="249"/>
      <c r="AD436" s="249"/>
      <c r="AE436" s="249"/>
      <c r="AF436" s="249"/>
      <c r="AG436" s="249"/>
      <c r="AH436" s="249"/>
      <c r="AI436" s="249"/>
      <c r="AJ436" s="249"/>
      <c r="AK436" s="249"/>
      <c r="AL436" s="249"/>
      <c r="AM436" s="249"/>
      <c r="AN436" s="249"/>
      <c r="AO436" s="249"/>
    </row>
    <row r="437" spans="13:41" x14ac:dyDescent="0.35">
      <c r="M437" s="263" t="s">
        <v>254</v>
      </c>
      <c r="N437" s="264"/>
      <c r="O437" s="263" t="s">
        <v>255</v>
      </c>
      <c r="P437" s="264"/>
      <c r="Q437" s="264"/>
      <c r="R437" s="264"/>
      <c r="S437" s="249"/>
      <c r="T437" s="253"/>
      <c r="U437" s="265" t="str">
        <f>O437</f>
        <v>Tabelas de IRS de retenção na fonte referente a 2023 no Continente</v>
      </c>
      <c r="V437" s="253"/>
      <c r="W437" s="253"/>
      <c r="X437" s="253"/>
      <c r="Y437" s="253"/>
      <c r="Z437" s="253"/>
      <c r="AA437" s="249"/>
      <c r="AB437" s="249"/>
      <c r="AC437" s="249"/>
      <c r="AD437" s="249"/>
      <c r="AE437" s="249"/>
      <c r="AF437" s="249"/>
      <c r="AG437" s="249"/>
      <c r="AH437" s="249"/>
      <c r="AI437" s="249"/>
      <c r="AJ437" s="249"/>
      <c r="AK437" s="249"/>
      <c r="AL437" s="249"/>
      <c r="AM437" s="249"/>
      <c r="AN437" s="249"/>
      <c r="AO437" s="249"/>
    </row>
    <row r="438" spans="13:41" x14ac:dyDescent="0.35">
      <c r="M438" s="249"/>
      <c r="N438" s="264"/>
      <c r="O438" s="263" t="s">
        <v>187</v>
      </c>
      <c r="P438" s="249"/>
      <c r="Q438" s="264"/>
      <c r="R438" s="264"/>
      <c r="S438" s="249"/>
      <c r="T438" s="253"/>
      <c r="U438" s="265" t="str">
        <f>O438</f>
        <v>T A B E L A  I V - TRABALHO DEPENDENTE</v>
      </c>
      <c r="V438" s="253"/>
      <c r="W438" s="253"/>
      <c r="X438" s="253"/>
      <c r="Y438" s="253"/>
      <c r="Z438" s="253"/>
      <c r="AA438" s="249"/>
      <c r="AB438" s="249"/>
      <c r="AC438" s="249"/>
      <c r="AD438" s="249"/>
      <c r="AE438" s="249"/>
      <c r="AF438" s="249"/>
      <c r="AG438" s="249"/>
      <c r="AH438" s="249"/>
      <c r="AI438" s="249"/>
      <c r="AJ438" s="249"/>
      <c r="AK438" s="249"/>
      <c r="AL438" s="249"/>
      <c r="AM438" s="249"/>
      <c r="AN438" s="249"/>
      <c r="AO438" s="249"/>
    </row>
    <row r="439" spans="13:41" x14ac:dyDescent="0.35">
      <c r="M439" s="266"/>
      <c r="N439" s="264"/>
      <c r="O439" s="263" t="s">
        <v>188</v>
      </c>
      <c r="P439" s="249"/>
      <c r="Q439" s="264"/>
      <c r="R439" s="264"/>
      <c r="S439" s="249"/>
      <c r="T439" s="253"/>
      <c r="U439" s="265" t="str">
        <f>O439</f>
        <v>NÃO CASADO - DEFICIENTE</v>
      </c>
      <c r="V439" s="253"/>
      <c r="W439" s="253"/>
      <c r="X439" s="253"/>
      <c r="Y439" s="253"/>
      <c r="Z439" s="253"/>
      <c r="AA439" s="249"/>
      <c r="AB439" s="249"/>
      <c r="AC439" s="249"/>
      <c r="AD439" s="249"/>
      <c r="AE439" s="249"/>
      <c r="AF439" s="249"/>
      <c r="AG439" s="249"/>
      <c r="AH439" s="249"/>
      <c r="AI439" s="249"/>
      <c r="AJ439" s="249"/>
      <c r="AK439" s="249"/>
      <c r="AL439" s="249"/>
      <c r="AM439" s="249"/>
      <c r="AN439" s="249"/>
      <c r="AO439" s="249"/>
    </row>
    <row r="440" spans="13:41" x14ac:dyDescent="0.35">
      <c r="M440" s="267" t="s">
        <v>154</v>
      </c>
      <c r="N440" s="268" t="s">
        <v>155</v>
      </c>
      <c r="O440" s="268" t="s">
        <v>156</v>
      </c>
      <c r="P440" s="268" t="s">
        <v>157</v>
      </c>
      <c r="Q440" s="268" t="s">
        <v>158</v>
      </c>
      <c r="R440" s="268" t="s">
        <v>159</v>
      </c>
      <c r="S440" s="268" t="s">
        <v>160</v>
      </c>
      <c r="T440" s="253"/>
      <c r="U440" s="269" t="str">
        <f t="shared" ref="U440:Z440" si="63">N440</f>
        <v>0 dep</v>
      </c>
      <c r="V440" s="269" t="str">
        <f t="shared" si="63"/>
        <v>1 dep</v>
      </c>
      <c r="W440" s="269" t="str">
        <f t="shared" si="63"/>
        <v>2 dep</v>
      </c>
      <c r="X440" s="269" t="str">
        <f t="shared" si="63"/>
        <v>3 dep</v>
      </c>
      <c r="Y440" s="269" t="str">
        <f t="shared" si="63"/>
        <v>4 dep</v>
      </c>
      <c r="Z440" s="269" t="str">
        <f t="shared" si="63"/>
        <v>5 dep. ou +</v>
      </c>
      <c r="AA440" s="249"/>
      <c r="AB440" s="249"/>
      <c r="AC440" s="249"/>
      <c r="AD440" s="249"/>
      <c r="AE440" s="249"/>
      <c r="AF440" s="249"/>
      <c r="AG440" s="249"/>
      <c r="AH440" s="249"/>
      <c r="AI440" s="249"/>
      <c r="AJ440" s="249"/>
      <c r="AK440" s="249"/>
      <c r="AL440" s="249"/>
      <c r="AM440" s="249"/>
      <c r="AN440" s="249"/>
      <c r="AO440" s="249"/>
    </row>
    <row r="441" spans="13:41" x14ac:dyDescent="0.35">
      <c r="M441" s="250">
        <v>1348</v>
      </c>
      <c r="N441" s="251" t="str">
        <f>IF($R$11&lt;=M441,IF($R$11&gt;=0,0,""),"")</f>
        <v/>
      </c>
      <c r="O441" s="251" t="str">
        <f>IF($R$11&lt;=M441,IF($R$11&gt;=0,0,""),"")</f>
        <v/>
      </c>
      <c r="P441" s="251" t="str">
        <f>IF($R$11&lt;=M441,IF($R$11&gt;=0,0,""),"")</f>
        <v/>
      </c>
      <c r="Q441" s="251" t="str">
        <f>IF($R$11&lt;=M441,IF($R$11&gt;=0,0,""),"")</f>
        <v/>
      </c>
      <c r="R441" s="251" t="str">
        <f>IF($R$11&lt;=M441,IF($R$11&gt;=0,0,""),"")</f>
        <v/>
      </c>
      <c r="S441" s="251" t="str">
        <f>IF($R$11&lt;=M441,IF($R$11&gt;=0,0,""),"")</f>
        <v/>
      </c>
      <c r="T441" s="253"/>
      <c r="U441" s="254">
        <v>0</v>
      </c>
      <c r="V441" s="254">
        <v>0</v>
      </c>
      <c r="W441" s="254">
        <v>0</v>
      </c>
      <c r="X441" s="254">
        <v>0</v>
      </c>
      <c r="Y441" s="254">
        <v>0</v>
      </c>
      <c r="Z441" s="254">
        <v>0</v>
      </c>
      <c r="AA441" s="249"/>
      <c r="AB441" s="249"/>
      <c r="AC441" s="249"/>
      <c r="AD441" s="249"/>
      <c r="AE441" s="249"/>
      <c r="AF441" s="249"/>
      <c r="AG441" s="249"/>
      <c r="AH441" s="249"/>
      <c r="AI441" s="249"/>
      <c r="AJ441" s="249"/>
      <c r="AK441" s="249"/>
      <c r="AL441" s="249"/>
      <c r="AM441" s="249"/>
      <c r="AN441" s="249"/>
      <c r="AO441" s="249"/>
    </row>
    <row r="442" spans="13:41" x14ac:dyDescent="0.35">
      <c r="M442" s="250">
        <v>1456</v>
      </c>
      <c r="N442" s="251" t="str">
        <f>IF($R$11&lt;=M442,IF($R$11&gt;=M441+0.01,U442,""),"")</f>
        <v/>
      </c>
      <c r="O442" s="251" t="str">
        <f>IF($R$11&lt;=M442,IF($R$11&gt;=M441+0.01,V442,""),"")</f>
        <v/>
      </c>
      <c r="P442" s="251" t="str">
        <f>IF($R$11&lt;=M442,IF($R$11&gt;=M441+0.01,W442,""),"")</f>
        <v/>
      </c>
      <c r="Q442" s="251" t="str">
        <f>IF($R$11&lt;=M442,IF($R$11&gt;=M441+0.01,X442,""),"")</f>
        <v/>
      </c>
      <c r="R442" s="251" t="str">
        <f>IF($R$11&lt;=M442,IF($R$11&gt;=M441+0.01,Y442,""),"")</f>
        <v/>
      </c>
      <c r="S442" s="252" t="str">
        <f>IF($R$11&lt;=M442,IF($R$11&gt;=M441+0.01,Z442,""),"")</f>
        <v/>
      </c>
      <c r="T442" s="253"/>
      <c r="U442" s="254">
        <v>1.2E-2</v>
      </c>
      <c r="V442" s="254">
        <v>0</v>
      </c>
      <c r="W442" s="254">
        <v>0</v>
      </c>
      <c r="X442" s="254">
        <v>0</v>
      </c>
      <c r="Y442" s="254">
        <v>0</v>
      </c>
      <c r="Z442" s="254">
        <v>0</v>
      </c>
      <c r="AA442" s="249"/>
      <c r="AB442" s="249"/>
      <c r="AC442" s="249"/>
      <c r="AD442" s="249"/>
      <c r="AE442" s="249"/>
      <c r="AF442" s="249"/>
      <c r="AG442" s="249"/>
      <c r="AH442" s="249"/>
      <c r="AI442" s="249"/>
      <c r="AJ442" s="249"/>
      <c r="AK442" s="249"/>
      <c r="AL442" s="249"/>
      <c r="AM442" s="249"/>
      <c r="AN442" s="249"/>
      <c r="AO442" s="249"/>
    </row>
    <row r="443" spans="13:41" x14ac:dyDescent="0.35">
      <c r="M443" s="250">
        <v>1498</v>
      </c>
      <c r="N443" s="251" t="str">
        <f>IF($R$11&lt;=M443,IF($R$11&gt;=M442+0.01,U443,""),"")</f>
        <v/>
      </c>
      <c r="O443" s="251" t="str">
        <f>IF($R$11&lt;=M443,IF($R$11&gt;=M442+0.01,V443,""),"")</f>
        <v/>
      </c>
      <c r="P443" s="251" t="str">
        <f>IF($R$11&lt;=M443,IF($R$11&gt;=M442+0.01,W443,""),"")</f>
        <v/>
      </c>
      <c r="Q443" s="251" t="str">
        <f>IF($R$11&lt;=M443,IF($R$11&gt;=M442+0.01,X443,""),"")</f>
        <v/>
      </c>
      <c r="R443" s="251" t="str">
        <f>IF($R$11&lt;=M443,IF($R$11&gt;=M442+0.01,Y443,""),"")</f>
        <v/>
      </c>
      <c r="S443" s="252" t="str">
        <f>IF($R$11&lt;=M443,IF($R$11&gt;=M442+0.01,Z443,""),"")</f>
        <v/>
      </c>
      <c r="T443" s="253"/>
      <c r="U443" s="254">
        <v>4.1000000000000002E-2</v>
      </c>
      <c r="V443" s="254">
        <v>6.0000000000000001E-3</v>
      </c>
      <c r="W443" s="254">
        <v>0</v>
      </c>
      <c r="X443" s="254">
        <v>0</v>
      </c>
      <c r="Y443" s="254">
        <v>0</v>
      </c>
      <c r="Z443" s="254">
        <v>0</v>
      </c>
      <c r="AA443" s="249"/>
      <c r="AB443" s="255"/>
      <c r="AC443" s="255"/>
      <c r="AD443" s="255"/>
      <c r="AE443" s="255"/>
      <c r="AF443" s="255"/>
      <c r="AG443" s="255"/>
      <c r="AH443" s="249"/>
      <c r="AI443" s="249"/>
      <c r="AJ443" s="249"/>
      <c r="AK443" s="249"/>
      <c r="AL443" s="249"/>
      <c r="AM443" s="249"/>
      <c r="AN443" s="249"/>
      <c r="AO443" s="249"/>
    </row>
    <row r="444" spans="13:41" x14ac:dyDescent="0.35">
      <c r="M444" s="250">
        <v>1687</v>
      </c>
      <c r="N444" s="251">
        <f t="shared" ref="N444:N469" si="64">IF($R$11&lt;=M444,IF($R$11&gt;=M443+0.01,U444,""),"")</f>
        <v>5.0999999999999997E-2</v>
      </c>
      <c r="O444" s="251">
        <f t="shared" ref="O444:O469" si="65">IF($R$11&lt;=M444,IF($R$11&gt;=M443+0.01,V444,""),"")</f>
        <v>2.5999999999999999E-2</v>
      </c>
      <c r="P444" s="251">
        <f t="shared" ref="P444:P469" si="66">IF($R$11&lt;=M444,IF($R$11&gt;=M443+0.01,W444,""),"")</f>
        <v>0</v>
      </c>
      <c r="Q444" s="251">
        <f t="shared" ref="Q444:Q469" si="67">IF($R$11&lt;=M444,IF($R$11&gt;=M443+0.01,X444,""),"")</f>
        <v>0</v>
      </c>
      <c r="R444" s="251">
        <f t="shared" ref="R444:R469" si="68">IF($R$11&lt;=M444,IF($R$11&gt;=M443+0.01,Y444,""),"")</f>
        <v>0</v>
      </c>
      <c r="S444" s="252">
        <f t="shared" ref="S444:S469" si="69">IF($R$11&lt;=M444,IF($R$11&gt;=M443+0.01,Z444,""),"")</f>
        <v>0</v>
      </c>
      <c r="T444" s="253"/>
      <c r="U444" s="254">
        <v>5.0999999999999997E-2</v>
      </c>
      <c r="V444" s="254">
        <v>2.5999999999999999E-2</v>
      </c>
      <c r="W444" s="254">
        <v>0</v>
      </c>
      <c r="X444" s="254">
        <v>0</v>
      </c>
      <c r="Y444" s="254">
        <v>0</v>
      </c>
      <c r="Z444" s="254">
        <v>0</v>
      </c>
      <c r="AA444" s="249"/>
      <c r="AB444" s="255"/>
      <c r="AC444" s="255"/>
      <c r="AD444" s="255"/>
      <c r="AE444" s="255"/>
      <c r="AF444" s="255"/>
      <c r="AG444" s="255"/>
      <c r="AH444" s="249"/>
      <c r="AI444" s="249"/>
      <c r="AJ444" s="249"/>
      <c r="AK444" s="249"/>
      <c r="AL444" s="249"/>
      <c r="AM444" s="249"/>
      <c r="AN444" s="249"/>
      <c r="AO444" s="249"/>
    </row>
    <row r="445" spans="13:41" x14ac:dyDescent="0.35">
      <c r="M445" s="250">
        <v>2013</v>
      </c>
      <c r="N445" s="251" t="str">
        <f t="shared" si="64"/>
        <v/>
      </c>
      <c r="O445" s="251" t="str">
        <f t="shared" si="65"/>
        <v/>
      </c>
      <c r="P445" s="251" t="str">
        <f t="shared" si="66"/>
        <v/>
      </c>
      <c r="Q445" s="251" t="str">
        <f t="shared" si="67"/>
        <v/>
      </c>
      <c r="R445" s="251" t="str">
        <f t="shared" si="68"/>
        <v/>
      </c>
      <c r="S445" s="252" t="str">
        <f t="shared" si="69"/>
        <v/>
      </c>
      <c r="T445" s="253"/>
      <c r="U445" s="254">
        <v>6.6000000000000003E-2</v>
      </c>
      <c r="V445" s="254">
        <v>4.7E-2</v>
      </c>
      <c r="W445" s="254">
        <v>3.6999999999999998E-2</v>
      </c>
      <c r="X445" s="254">
        <v>2E-3</v>
      </c>
      <c r="Y445" s="254">
        <v>0</v>
      </c>
      <c r="Z445" s="254">
        <v>0</v>
      </c>
      <c r="AA445" s="249"/>
      <c r="AB445" s="255"/>
      <c r="AC445" s="255"/>
      <c r="AD445" s="255"/>
      <c r="AE445" s="255"/>
      <c r="AF445" s="255"/>
      <c r="AG445" s="255"/>
      <c r="AH445" s="249"/>
      <c r="AI445" s="249"/>
      <c r="AJ445" s="249"/>
      <c r="AK445" s="249"/>
      <c r="AL445" s="249"/>
      <c r="AM445" s="249"/>
      <c r="AN445" s="249"/>
      <c r="AO445" s="249"/>
    </row>
    <row r="446" spans="13:41" x14ac:dyDescent="0.35">
      <c r="M446" s="250">
        <v>2140</v>
      </c>
      <c r="N446" s="251" t="str">
        <f t="shared" si="64"/>
        <v/>
      </c>
      <c r="O446" s="251" t="str">
        <f t="shared" si="65"/>
        <v/>
      </c>
      <c r="P446" s="251" t="str">
        <f t="shared" si="66"/>
        <v/>
      </c>
      <c r="Q446" s="251" t="str">
        <f t="shared" si="67"/>
        <v/>
      </c>
      <c r="R446" s="251" t="str">
        <f t="shared" si="68"/>
        <v/>
      </c>
      <c r="S446" s="252" t="str">
        <f t="shared" si="69"/>
        <v/>
      </c>
      <c r="T446" s="253"/>
      <c r="U446" s="254">
        <v>0.08</v>
      </c>
      <c r="V446" s="254">
        <v>6.2E-2</v>
      </c>
      <c r="W446" s="254">
        <v>5.1999999999999998E-2</v>
      </c>
      <c r="X446" s="254">
        <v>2.1999999999999999E-2</v>
      </c>
      <c r="Y446" s="254">
        <v>1.2E-2</v>
      </c>
      <c r="Z446" s="254">
        <v>0</v>
      </c>
      <c r="AA446" s="249"/>
      <c r="AB446" s="255"/>
      <c r="AC446" s="255"/>
      <c r="AD446" s="255"/>
      <c r="AE446" s="255"/>
      <c r="AF446" s="255"/>
      <c r="AG446" s="255"/>
      <c r="AH446" s="249"/>
      <c r="AI446" s="249"/>
      <c r="AJ446" s="249"/>
      <c r="AK446" s="249"/>
      <c r="AL446" s="249"/>
      <c r="AM446" s="249"/>
      <c r="AN446" s="249"/>
      <c r="AO446" s="249"/>
    </row>
    <row r="447" spans="13:41" x14ac:dyDescent="0.35">
      <c r="M447" s="250">
        <v>2278</v>
      </c>
      <c r="N447" s="251" t="str">
        <f t="shared" si="64"/>
        <v/>
      </c>
      <c r="O447" s="251" t="str">
        <f t="shared" si="65"/>
        <v/>
      </c>
      <c r="P447" s="251" t="str">
        <f t="shared" si="66"/>
        <v/>
      </c>
      <c r="Q447" s="251" t="str">
        <f t="shared" si="67"/>
        <v/>
      </c>
      <c r="R447" s="251" t="str">
        <f t="shared" si="68"/>
        <v/>
      </c>
      <c r="S447" s="252" t="str">
        <f t="shared" si="69"/>
        <v/>
      </c>
      <c r="T447" s="253"/>
      <c r="U447" s="254">
        <v>9.9000000000000005E-2</v>
      </c>
      <c r="V447" s="254">
        <v>7.1999999999999995E-2</v>
      </c>
      <c r="W447" s="254">
        <v>6.2E-2</v>
      </c>
      <c r="X447" s="254">
        <v>4.2000000000000003E-2</v>
      </c>
      <c r="Y447" s="254">
        <v>2.1999999999999999E-2</v>
      </c>
      <c r="Z447" s="254">
        <v>1.2E-2</v>
      </c>
      <c r="AA447" s="249"/>
      <c r="AB447" s="255"/>
      <c r="AC447" s="255"/>
      <c r="AD447" s="255"/>
      <c r="AE447" s="255"/>
      <c r="AF447" s="255"/>
      <c r="AG447" s="255"/>
      <c r="AH447" s="249"/>
      <c r="AI447" s="249"/>
      <c r="AJ447" s="249"/>
      <c r="AK447" s="249"/>
      <c r="AL447" s="249"/>
      <c r="AM447" s="249"/>
      <c r="AN447" s="249"/>
      <c r="AO447" s="249"/>
    </row>
    <row r="448" spans="13:41" x14ac:dyDescent="0.35">
      <c r="M448" s="250">
        <v>2382</v>
      </c>
      <c r="N448" s="251" t="str">
        <f t="shared" si="64"/>
        <v/>
      </c>
      <c r="O448" s="251" t="str">
        <f t="shared" si="65"/>
        <v/>
      </c>
      <c r="P448" s="251" t="str">
        <f t="shared" si="66"/>
        <v/>
      </c>
      <c r="Q448" s="251" t="str">
        <f t="shared" si="67"/>
        <v/>
      </c>
      <c r="R448" s="251" t="str">
        <f t="shared" si="68"/>
        <v/>
      </c>
      <c r="S448" s="252" t="str">
        <f t="shared" si="69"/>
        <v/>
      </c>
      <c r="T448" s="253"/>
      <c r="U448" s="254">
        <v>0.123</v>
      </c>
      <c r="V448" s="254">
        <v>9.5000000000000001E-2</v>
      </c>
      <c r="W448" s="254">
        <v>7.5999999999999998E-2</v>
      </c>
      <c r="X448" s="254">
        <v>5.7000000000000002E-2</v>
      </c>
      <c r="Y448" s="254">
        <v>3.6999999999999998E-2</v>
      </c>
      <c r="Z448" s="254">
        <v>2.7E-2</v>
      </c>
      <c r="AA448" s="249"/>
      <c r="AB448" s="255"/>
      <c r="AC448" s="255"/>
      <c r="AD448" s="255"/>
      <c r="AE448" s="255"/>
      <c r="AF448" s="255"/>
      <c r="AG448" s="255"/>
      <c r="AH448" s="249"/>
      <c r="AI448" s="249"/>
      <c r="AJ448" s="249"/>
      <c r="AK448" s="249"/>
      <c r="AL448" s="249"/>
      <c r="AM448" s="249"/>
      <c r="AN448" s="249"/>
      <c r="AO448" s="249"/>
    </row>
    <row r="449" spans="13:41" x14ac:dyDescent="0.35">
      <c r="M449" s="250">
        <v>2552</v>
      </c>
      <c r="N449" s="251" t="str">
        <f t="shared" si="64"/>
        <v/>
      </c>
      <c r="O449" s="251" t="str">
        <f t="shared" si="65"/>
        <v/>
      </c>
      <c r="P449" s="251" t="str">
        <f t="shared" si="66"/>
        <v/>
      </c>
      <c r="Q449" s="251" t="str">
        <f t="shared" si="67"/>
        <v/>
      </c>
      <c r="R449" s="251" t="str">
        <f t="shared" si="68"/>
        <v/>
      </c>
      <c r="S449" s="252" t="str">
        <f t="shared" si="69"/>
        <v/>
      </c>
      <c r="T449" s="253"/>
      <c r="U449" s="254">
        <v>0.14299999999999999</v>
      </c>
      <c r="V449" s="254">
        <v>0.115</v>
      </c>
      <c r="W449" s="254">
        <v>9.6000000000000002E-2</v>
      </c>
      <c r="X449" s="254">
        <v>7.5999999999999998E-2</v>
      </c>
      <c r="Y449" s="254">
        <v>5.8000000000000003E-2</v>
      </c>
      <c r="Z449" s="254">
        <v>3.6999999999999998E-2</v>
      </c>
      <c r="AA449" s="249"/>
      <c r="AB449" s="255"/>
      <c r="AC449" s="255"/>
      <c r="AD449" s="255"/>
      <c r="AE449" s="255"/>
      <c r="AF449" s="255"/>
      <c r="AG449" s="255"/>
      <c r="AH449" s="249"/>
      <c r="AI449" s="249"/>
      <c r="AJ449" s="249"/>
      <c r="AK449" s="249"/>
      <c r="AL449" s="249"/>
      <c r="AM449" s="249"/>
      <c r="AN449" s="249"/>
      <c r="AO449" s="249"/>
    </row>
    <row r="450" spans="13:41" x14ac:dyDescent="0.35">
      <c r="M450" s="250">
        <v>2637</v>
      </c>
      <c r="N450" s="251" t="str">
        <f t="shared" si="64"/>
        <v/>
      </c>
      <c r="O450" s="251" t="str">
        <f t="shared" si="65"/>
        <v/>
      </c>
      <c r="P450" s="251" t="str">
        <f t="shared" si="66"/>
        <v/>
      </c>
      <c r="Q450" s="251" t="str">
        <f t="shared" si="67"/>
        <v/>
      </c>
      <c r="R450" s="251" t="str">
        <f t="shared" si="68"/>
        <v/>
      </c>
      <c r="S450" s="252" t="str">
        <f t="shared" si="69"/>
        <v/>
      </c>
      <c r="T450" s="253"/>
      <c r="U450" s="254">
        <v>0.152</v>
      </c>
      <c r="V450" s="254">
        <v>0.13400000000000001</v>
      </c>
      <c r="W450" s="254">
        <v>0.115</v>
      </c>
      <c r="X450" s="254">
        <v>9.6000000000000002E-2</v>
      </c>
      <c r="Y450" s="254">
        <v>6.7000000000000004E-2</v>
      </c>
      <c r="Z450" s="254">
        <v>5.8000000000000003E-2</v>
      </c>
      <c r="AA450" s="249"/>
      <c r="AB450" s="255"/>
      <c r="AC450" s="255"/>
      <c r="AD450" s="255"/>
      <c r="AE450" s="255"/>
      <c r="AF450" s="255"/>
      <c r="AG450" s="255"/>
      <c r="AH450" s="249"/>
      <c r="AI450" s="249"/>
      <c r="AJ450" s="249"/>
      <c r="AK450" s="249"/>
      <c r="AL450" s="249"/>
      <c r="AM450" s="249"/>
      <c r="AN450" s="249"/>
      <c r="AO450" s="249"/>
    </row>
    <row r="451" spans="13:41" x14ac:dyDescent="0.35">
      <c r="M451" s="250">
        <v>2741</v>
      </c>
      <c r="N451" s="251" t="str">
        <f t="shared" si="64"/>
        <v/>
      </c>
      <c r="O451" s="251" t="str">
        <f t="shared" si="65"/>
        <v/>
      </c>
      <c r="P451" s="251" t="str">
        <f t="shared" si="66"/>
        <v/>
      </c>
      <c r="Q451" s="251" t="str">
        <f t="shared" si="67"/>
        <v/>
      </c>
      <c r="R451" s="251" t="str">
        <f t="shared" si="68"/>
        <v/>
      </c>
      <c r="S451" s="252" t="str">
        <f t="shared" si="69"/>
        <v/>
      </c>
      <c r="T451" s="253"/>
      <c r="U451" s="254">
        <v>0.16300000000000001</v>
      </c>
      <c r="V451" s="254">
        <v>0.14399999999999999</v>
      </c>
      <c r="W451" s="254">
        <v>0.124</v>
      </c>
      <c r="X451" s="254">
        <v>0.106</v>
      </c>
      <c r="Y451" s="254">
        <v>8.5999999999999993E-2</v>
      </c>
      <c r="Z451" s="254">
        <v>7.5999999999999998E-2</v>
      </c>
      <c r="AA451" s="249"/>
      <c r="AB451" s="255"/>
      <c r="AC451" s="255"/>
      <c r="AD451" s="255"/>
      <c r="AE451" s="255"/>
      <c r="AF451" s="255"/>
      <c r="AG451" s="255"/>
      <c r="AH451" s="249"/>
      <c r="AI451" s="249"/>
      <c r="AJ451" s="249"/>
      <c r="AK451" s="249"/>
      <c r="AL451" s="249"/>
      <c r="AM451" s="249"/>
      <c r="AN451" s="249"/>
      <c r="AO451" s="249"/>
    </row>
    <row r="452" spans="13:41" x14ac:dyDescent="0.35">
      <c r="M452" s="250">
        <v>3015</v>
      </c>
      <c r="N452" s="251" t="str">
        <f t="shared" si="64"/>
        <v/>
      </c>
      <c r="O452" s="251" t="str">
        <f t="shared" si="65"/>
        <v/>
      </c>
      <c r="P452" s="251" t="str">
        <f t="shared" si="66"/>
        <v/>
      </c>
      <c r="Q452" s="251" t="str">
        <f t="shared" si="67"/>
        <v/>
      </c>
      <c r="R452" s="251" t="str">
        <f t="shared" si="68"/>
        <v/>
      </c>
      <c r="S452" s="252" t="str">
        <f t="shared" si="69"/>
        <v/>
      </c>
      <c r="T452" s="253"/>
      <c r="U452" s="254">
        <v>0.17199999999999999</v>
      </c>
      <c r="V452" s="254">
        <v>0.154</v>
      </c>
      <c r="W452" s="254">
        <v>0.13400000000000001</v>
      </c>
      <c r="X452" s="254">
        <v>0.11600000000000001</v>
      </c>
      <c r="Y452" s="254">
        <v>0.106</v>
      </c>
      <c r="Z452" s="254">
        <v>9.6000000000000002E-2</v>
      </c>
      <c r="AA452" s="249"/>
      <c r="AB452" s="255"/>
      <c r="AC452" s="255"/>
      <c r="AD452" s="255"/>
      <c r="AE452" s="255"/>
      <c r="AF452" s="255"/>
      <c r="AG452" s="255"/>
      <c r="AH452" s="249"/>
      <c r="AI452" s="249"/>
      <c r="AJ452" s="249"/>
      <c r="AK452" s="249"/>
      <c r="AL452" s="249"/>
      <c r="AM452" s="249"/>
      <c r="AN452" s="249"/>
      <c r="AO452" s="249"/>
    </row>
    <row r="453" spans="13:41" x14ac:dyDescent="0.35">
      <c r="M453" s="250">
        <v>3343</v>
      </c>
      <c r="N453" s="251" t="str">
        <f t="shared" si="64"/>
        <v/>
      </c>
      <c r="O453" s="251" t="str">
        <f t="shared" si="65"/>
        <v/>
      </c>
      <c r="P453" s="251" t="str">
        <f t="shared" si="66"/>
        <v/>
      </c>
      <c r="Q453" s="251" t="str">
        <f t="shared" si="67"/>
        <v/>
      </c>
      <c r="R453" s="251" t="str">
        <f t="shared" si="68"/>
        <v/>
      </c>
      <c r="S453" s="252" t="str">
        <f t="shared" si="69"/>
        <v/>
      </c>
      <c r="T453" s="253"/>
      <c r="U453" s="254">
        <v>0.183</v>
      </c>
      <c r="V453" s="254">
        <v>0.16900000000000001</v>
      </c>
      <c r="W453" s="254">
        <v>0.153</v>
      </c>
      <c r="X453" s="254">
        <v>0.13800000000000001</v>
      </c>
      <c r="Y453" s="254">
        <v>0.13200000000000001</v>
      </c>
      <c r="Z453" s="254">
        <v>0.126</v>
      </c>
      <c r="AA453" s="249"/>
      <c r="AB453" s="255"/>
      <c r="AC453" s="255"/>
      <c r="AD453" s="255"/>
      <c r="AE453" s="255"/>
      <c r="AF453" s="255"/>
      <c r="AG453" s="255"/>
      <c r="AH453" s="249"/>
      <c r="AI453" s="249"/>
      <c r="AJ453" s="249"/>
      <c r="AK453" s="249"/>
      <c r="AL453" s="249"/>
      <c r="AM453" s="249"/>
      <c r="AN453" s="249"/>
      <c r="AO453" s="249"/>
    </row>
    <row r="454" spans="13:41" x14ac:dyDescent="0.35">
      <c r="M454" s="250">
        <v>3690</v>
      </c>
      <c r="N454" s="251" t="str">
        <f t="shared" si="64"/>
        <v/>
      </c>
      <c r="O454" s="251" t="str">
        <f t="shared" si="65"/>
        <v/>
      </c>
      <c r="P454" s="251" t="str">
        <f t="shared" si="66"/>
        <v/>
      </c>
      <c r="Q454" s="251" t="str">
        <f t="shared" si="67"/>
        <v/>
      </c>
      <c r="R454" s="251" t="str">
        <f t="shared" si="68"/>
        <v/>
      </c>
      <c r="S454" s="252" t="str">
        <f t="shared" si="69"/>
        <v/>
      </c>
      <c r="T454" s="253"/>
      <c r="U454" s="254">
        <v>0.19500000000000001</v>
      </c>
      <c r="V454" s="254">
        <v>0.18</v>
      </c>
      <c r="W454" s="254">
        <v>0.16500000000000001</v>
      </c>
      <c r="X454" s="254">
        <v>0.14899999999999999</v>
      </c>
      <c r="Y454" s="254">
        <v>0.14299999999999999</v>
      </c>
      <c r="Z454" s="254">
        <v>0.13700000000000001</v>
      </c>
      <c r="AA454" s="249"/>
      <c r="AB454" s="255"/>
      <c r="AC454" s="255"/>
      <c r="AD454" s="255"/>
      <c r="AE454" s="255"/>
      <c r="AF454" s="255"/>
      <c r="AG454" s="255"/>
      <c r="AH454" s="249"/>
      <c r="AI454" s="249"/>
      <c r="AJ454" s="249"/>
      <c r="AK454" s="249"/>
      <c r="AL454" s="249"/>
      <c r="AM454" s="249"/>
      <c r="AN454" s="249"/>
      <c r="AO454" s="249"/>
    </row>
    <row r="455" spans="13:41" x14ac:dyDescent="0.35">
      <c r="M455" s="250">
        <v>3827</v>
      </c>
      <c r="N455" s="251" t="str">
        <f t="shared" si="64"/>
        <v/>
      </c>
      <c r="O455" s="251" t="str">
        <f t="shared" si="65"/>
        <v/>
      </c>
      <c r="P455" s="251" t="str">
        <f t="shared" si="66"/>
        <v/>
      </c>
      <c r="Q455" s="251" t="str">
        <f t="shared" si="67"/>
        <v/>
      </c>
      <c r="R455" s="251" t="str">
        <f t="shared" si="68"/>
        <v/>
      </c>
      <c r="S455" s="252" t="str">
        <f t="shared" si="69"/>
        <v/>
      </c>
      <c r="T455" s="253"/>
      <c r="U455" s="254">
        <v>0.20499999999999999</v>
      </c>
      <c r="V455" s="254">
        <v>0.192</v>
      </c>
      <c r="W455" s="254">
        <v>0.184</v>
      </c>
      <c r="X455" s="254">
        <v>0.159</v>
      </c>
      <c r="Y455" s="254">
        <v>0.153</v>
      </c>
      <c r="Z455" s="254">
        <v>0.14699999999999999</v>
      </c>
      <c r="AA455" s="249"/>
      <c r="AB455" s="255"/>
      <c r="AC455" s="255"/>
      <c r="AD455" s="255"/>
      <c r="AE455" s="255"/>
      <c r="AF455" s="255"/>
      <c r="AG455" s="255"/>
      <c r="AH455" s="249"/>
      <c r="AI455" s="249"/>
      <c r="AJ455" s="249"/>
      <c r="AK455" s="249"/>
      <c r="AL455" s="249"/>
      <c r="AM455" s="249"/>
      <c r="AN455" s="249"/>
      <c r="AO455" s="249"/>
    </row>
    <row r="456" spans="13:41" x14ac:dyDescent="0.35">
      <c r="M456" s="250">
        <v>4048</v>
      </c>
      <c r="N456" s="251" t="str">
        <f t="shared" si="64"/>
        <v/>
      </c>
      <c r="O456" s="251" t="str">
        <f t="shared" si="65"/>
        <v/>
      </c>
      <c r="P456" s="251" t="str">
        <f t="shared" si="66"/>
        <v/>
      </c>
      <c r="Q456" s="251" t="str">
        <f t="shared" si="67"/>
        <v/>
      </c>
      <c r="R456" s="251" t="str">
        <f t="shared" si="68"/>
        <v/>
      </c>
      <c r="S456" s="252" t="str">
        <f t="shared" si="69"/>
        <v/>
      </c>
      <c r="T456" s="253"/>
      <c r="U456" s="254">
        <v>0.215</v>
      </c>
      <c r="V456" s="254">
        <v>0.20200000000000001</v>
      </c>
      <c r="W456" s="254">
        <v>0.19600000000000001</v>
      </c>
      <c r="X456" s="254">
        <v>0.16900000000000001</v>
      </c>
      <c r="Y456" s="254">
        <v>0.16300000000000001</v>
      </c>
      <c r="Z456" s="254">
        <v>0.157</v>
      </c>
      <c r="AA456" s="249"/>
      <c r="AB456" s="255"/>
      <c r="AC456" s="255"/>
      <c r="AD456" s="255"/>
      <c r="AE456" s="255"/>
      <c r="AF456" s="255"/>
      <c r="AG456" s="255"/>
      <c r="AH456" s="249"/>
      <c r="AI456" s="249"/>
      <c r="AJ456" s="249"/>
      <c r="AK456" s="249"/>
      <c r="AL456" s="249"/>
      <c r="AM456" s="249"/>
      <c r="AN456" s="249"/>
      <c r="AO456" s="249"/>
    </row>
    <row r="457" spans="13:41" x14ac:dyDescent="0.35">
      <c r="M457" s="250">
        <v>4481</v>
      </c>
      <c r="N457" s="251" t="str">
        <f t="shared" si="64"/>
        <v/>
      </c>
      <c r="O457" s="251" t="str">
        <f t="shared" si="65"/>
        <v/>
      </c>
      <c r="P457" s="251" t="str">
        <f t="shared" si="66"/>
        <v/>
      </c>
      <c r="Q457" s="251" t="str">
        <f t="shared" si="67"/>
        <v/>
      </c>
      <c r="R457" s="251" t="str">
        <f t="shared" si="68"/>
        <v/>
      </c>
      <c r="S457" s="252" t="str">
        <f t="shared" si="69"/>
        <v/>
      </c>
      <c r="T457" s="253"/>
      <c r="U457" s="254">
        <v>0.23400000000000001</v>
      </c>
      <c r="V457" s="254">
        <v>0.221</v>
      </c>
      <c r="W457" s="254">
        <v>0.216</v>
      </c>
      <c r="X457" s="254">
        <v>0.19</v>
      </c>
      <c r="Y457" s="254">
        <v>0.182</v>
      </c>
      <c r="Z457" s="254">
        <v>0.17599999999999999</v>
      </c>
      <c r="AA457" s="249"/>
      <c r="AB457" s="255"/>
      <c r="AC457" s="255"/>
      <c r="AD457" s="255"/>
      <c r="AE457" s="255"/>
      <c r="AF457" s="255"/>
      <c r="AG457" s="255"/>
      <c r="AH457" s="249"/>
      <c r="AI457" s="249"/>
      <c r="AJ457" s="249"/>
      <c r="AK457" s="249"/>
      <c r="AL457" s="249"/>
      <c r="AM457" s="249"/>
      <c r="AN457" s="249"/>
      <c r="AO457" s="249"/>
    </row>
    <row r="458" spans="13:41" x14ac:dyDescent="0.35">
      <c r="M458" s="250">
        <v>4755</v>
      </c>
      <c r="N458" s="251" t="str">
        <f t="shared" si="64"/>
        <v/>
      </c>
      <c r="O458" s="251" t="str">
        <f t="shared" si="65"/>
        <v/>
      </c>
      <c r="P458" s="251" t="str">
        <f t="shared" si="66"/>
        <v/>
      </c>
      <c r="Q458" s="251" t="str">
        <f t="shared" si="67"/>
        <v/>
      </c>
      <c r="R458" s="251" t="str">
        <f t="shared" si="68"/>
        <v/>
      </c>
      <c r="S458" s="252" t="str">
        <f t="shared" si="69"/>
        <v/>
      </c>
      <c r="T458" s="253"/>
      <c r="U458" s="254">
        <v>0.24399999999999999</v>
      </c>
      <c r="V458" s="254">
        <v>0.23100000000000001</v>
      </c>
      <c r="W458" s="254">
        <v>0.22500000000000001</v>
      </c>
      <c r="X458" s="254">
        <v>0.2</v>
      </c>
      <c r="Y458" s="254">
        <v>0.19400000000000001</v>
      </c>
      <c r="Z458" s="254">
        <v>0.186</v>
      </c>
      <c r="AA458" s="249"/>
      <c r="AB458" s="255"/>
      <c r="AC458" s="255"/>
      <c r="AD458" s="255"/>
      <c r="AE458" s="255"/>
      <c r="AF458" s="255"/>
      <c r="AG458" s="255"/>
      <c r="AH458" s="249"/>
      <c r="AI458" s="249"/>
      <c r="AJ458" s="249"/>
      <c r="AK458" s="249"/>
      <c r="AL458" s="249"/>
      <c r="AM458" s="249"/>
      <c r="AN458" s="249"/>
      <c r="AO458" s="249"/>
    </row>
    <row r="459" spans="13:41" x14ac:dyDescent="0.35">
      <c r="M459" s="250">
        <v>5060</v>
      </c>
      <c r="N459" s="251" t="str">
        <f t="shared" si="64"/>
        <v/>
      </c>
      <c r="O459" s="251" t="str">
        <f t="shared" si="65"/>
        <v/>
      </c>
      <c r="P459" s="251" t="str">
        <f t="shared" si="66"/>
        <v/>
      </c>
      <c r="Q459" s="251" t="str">
        <f t="shared" si="67"/>
        <v/>
      </c>
      <c r="R459" s="251" t="str">
        <f t="shared" si="68"/>
        <v/>
      </c>
      <c r="S459" s="252" t="str">
        <f t="shared" si="69"/>
        <v/>
      </c>
      <c r="T459" s="253"/>
      <c r="U459" s="254">
        <v>0.254</v>
      </c>
      <c r="V459" s="254">
        <v>0.24099999999999999</v>
      </c>
      <c r="W459" s="254">
        <v>0.23499999999999999</v>
      </c>
      <c r="X459" s="254">
        <v>0.21</v>
      </c>
      <c r="Y459" s="254">
        <v>0.20399999999999999</v>
      </c>
      <c r="Z459" s="254">
        <v>0.19800000000000001</v>
      </c>
      <c r="AA459" s="249"/>
      <c r="AB459" s="255"/>
      <c r="AC459" s="255"/>
      <c r="AD459" s="255"/>
      <c r="AE459" s="255"/>
      <c r="AF459" s="255"/>
      <c r="AG459" s="255"/>
      <c r="AH459" s="249"/>
      <c r="AI459" s="249"/>
      <c r="AJ459" s="249"/>
      <c r="AK459" s="249"/>
      <c r="AL459" s="249"/>
      <c r="AM459" s="249"/>
      <c r="AN459" s="249"/>
      <c r="AO459" s="249"/>
    </row>
    <row r="460" spans="13:41" x14ac:dyDescent="0.35">
      <c r="M460" s="250">
        <v>5356</v>
      </c>
      <c r="N460" s="251" t="str">
        <f t="shared" si="64"/>
        <v/>
      </c>
      <c r="O460" s="251" t="str">
        <f t="shared" si="65"/>
        <v/>
      </c>
      <c r="P460" s="251" t="str">
        <f t="shared" si="66"/>
        <v/>
      </c>
      <c r="Q460" s="251" t="str">
        <f t="shared" si="67"/>
        <v/>
      </c>
      <c r="R460" s="251" t="str">
        <f t="shared" si="68"/>
        <v/>
      </c>
      <c r="S460" s="252" t="str">
        <f t="shared" si="69"/>
        <v/>
      </c>
      <c r="T460" s="253"/>
      <c r="U460" s="254">
        <v>0.26400000000000001</v>
      </c>
      <c r="V460" s="254">
        <v>0.251</v>
      </c>
      <c r="W460" s="254">
        <v>0.245</v>
      </c>
      <c r="X460" s="254">
        <v>0.22</v>
      </c>
      <c r="Y460" s="254">
        <v>0.214</v>
      </c>
      <c r="Z460" s="254">
        <v>0.20799999999999999</v>
      </c>
      <c r="AA460" s="249"/>
      <c r="AB460" s="255"/>
      <c r="AC460" s="255"/>
      <c r="AD460" s="255"/>
      <c r="AE460" s="255"/>
      <c r="AF460" s="255"/>
      <c r="AG460" s="255"/>
      <c r="AH460" s="249"/>
      <c r="AI460" s="249"/>
      <c r="AJ460" s="249"/>
      <c r="AK460" s="249"/>
      <c r="AL460" s="249"/>
      <c r="AM460" s="249"/>
      <c r="AN460" s="249"/>
      <c r="AO460" s="249"/>
    </row>
    <row r="461" spans="13:41" x14ac:dyDescent="0.35">
      <c r="M461" s="250">
        <v>5799</v>
      </c>
      <c r="N461" s="251" t="str">
        <f t="shared" si="64"/>
        <v/>
      </c>
      <c r="O461" s="251" t="str">
        <f t="shared" si="65"/>
        <v/>
      </c>
      <c r="P461" s="251" t="str">
        <f t="shared" si="66"/>
        <v/>
      </c>
      <c r="Q461" s="251" t="str">
        <f t="shared" si="67"/>
        <v/>
      </c>
      <c r="R461" s="251" t="str">
        <f t="shared" si="68"/>
        <v/>
      </c>
      <c r="S461" s="252" t="str">
        <f t="shared" si="69"/>
        <v/>
      </c>
      <c r="T461" s="253"/>
      <c r="U461" s="254">
        <v>0.27300000000000002</v>
      </c>
      <c r="V461" s="254">
        <v>0.26100000000000001</v>
      </c>
      <c r="W461" s="254">
        <v>0.255</v>
      </c>
      <c r="X461" s="254">
        <v>0.23899999999999999</v>
      </c>
      <c r="Y461" s="254">
        <v>0.223</v>
      </c>
      <c r="Z461" s="254">
        <v>0.218</v>
      </c>
      <c r="AA461" s="249"/>
      <c r="AB461" s="255"/>
      <c r="AC461" s="255"/>
      <c r="AD461" s="255"/>
      <c r="AE461" s="255"/>
      <c r="AF461" s="255"/>
      <c r="AG461" s="255"/>
      <c r="AH461" s="249"/>
      <c r="AI461" s="249"/>
      <c r="AJ461" s="249"/>
      <c r="AK461" s="249"/>
      <c r="AL461" s="249"/>
      <c r="AM461" s="249"/>
      <c r="AN461" s="249"/>
      <c r="AO461" s="249"/>
    </row>
    <row r="462" spans="13:41" x14ac:dyDescent="0.35">
      <c r="M462" s="250">
        <v>6241</v>
      </c>
      <c r="N462" s="251" t="str">
        <f t="shared" si="64"/>
        <v/>
      </c>
      <c r="O462" s="251" t="str">
        <f t="shared" si="65"/>
        <v/>
      </c>
      <c r="P462" s="251" t="str">
        <f t="shared" si="66"/>
        <v/>
      </c>
      <c r="Q462" s="251" t="str">
        <f t="shared" si="67"/>
        <v/>
      </c>
      <c r="R462" s="251" t="str">
        <f t="shared" si="68"/>
        <v/>
      </c>
      <c r="S462" s="252" t="str">
        <f t="shared" si="69"/>
        <v/>
      </c>
      <c r="T462" s="253"/>
      <c r="U462" s="254">
        <v>0.28799999999999998</v>
      </c>
      <c r="V462" s="254">
        <v>0.27500000000000002</v>
      </c>
      <c r="W462" s="254">
        <v>0.27</v>
      </c>
      <c r="X462" s="254">
        <v>0.254</v>
      </c>
      <c r="Y462" s="254">
        <v>0.23799999999999999</v>
      </c>
      <c r="Z462" s="254">
        <v>0.23200000000000001</v>
      </c>
      <c r="AA462" s="249"/>
      <c r="AB462" s="255"/>
      <c r="AC462" s="255"/>
      <c r="AD462" s="255"/>
      <c r="AE462" s="255"/>
      <c r="AF462" s="255"/>
      <c r="AG462" s="255"/>
      <c r="AH462" s="249"/>
      <c r="AI462" s="249"/>
      <c r="AJ462" s="249"/>
      <c r="AK462" s="249"/>
      <c r="AL462" s="249"/>
      <c r="AM462" s="249"/>
      <c r="AN462" s="249"/>
      <c r="AO462" s="249"/>
    </row>
    <row r="463" spans="13:41" x14ac:dyDescent="0.35">
      <c r="M463" s="250">
        <v>6966</v>
      </c>
      <c r="N463" s="251" t="str">
        <f t="shared" si="64"/>
        <v/>
      </c>
      <c r="O463" s="251" t="str">
        <f t="shared" si="65"/>
        <v/>
      </c>
      <c r="P463" s="251" t="str">
        <f t="shared" si="66"/>
        <v/>
      </c>
      <c r="Q463" s="251" t="str">
        <f t="shared" si="67"/>
        <v/>
      </c>
      <c r="R463" s="251" t="str">
        <f t="shared" si="68"/>
        <v/>
      </c>
      <c r="S463" s="252" t="str">
        <f t="shared" si="69"/>
        <v/>
      </c>
      <c r="T463" s="253"/>
      <c r="U463" s="254">
        <v>0.29699999999999999</v>
      </c>
      <c r="V463" s="254">
        <v>0.28699999999999998</v>
      </c>
      <c r="W463" s="254">
        <v>0.28299999999999997</v>
      </c>
      <c r="X463" s="254">
        <v>0.27</v>
      </c>
      <c r="Y463" s="254">
        <v>0.25600000000000001</v>
      </c>
      <c r="Z463" s="254">
        <v>0.252</v>
      </c>
      <c r="AA463" s="249"/>
      <c r="AB463" s="255"/>
      <c r="AC463" s="255"/>
      <c r="AD463" s="255"/>
      <c r="AE463" s="255"/>
      <c r="AF463" s="255"/>
      <c r="AG463" s="255"/>
      <c r="AH463" s="249"/>
      <c r="AI463" s="249"/>
      <c r="AJ463" s="249"/>
      <c r="AK463" s="249"/>
      <c r="AL463" s="249"/>
      <c r="AM463" s="249"/>
      <c r="AN463" s="249"/>
      <c r="AO463" s="249"/>
    </row>
    <row r="464" spans="13:41" x14ac:dyDescent="0.35">
      <c r="M464" s="250">
        <v>7448</v>
      </c>
      <c r="N464" s="251" t="str">
        <f t="shared" si="64"/>
        <v/>
      </c>
      <c r="O464" s="251" t="str">
        <f t="shared" si="65"/>
        <v/>
      </c>
      <c r="P464" s="251" t="str">
        <f t="shared" si="66"/>
        <v/>
      </c>
      <c r="Q464" s="251" t="str">
        <f t="shared" si="67"/>
        <v/>
      </c>
      <c r="R464" s="251" t="str">
        <f t="shared" si="68"/>
        <v/>
      </c>
      <c r="S464" s="252" t="str">
        <f t="shared" si="69"/>
        <v/>
      </c>
      <c r="T464" s="253"/>
      <c r="U464" s="254">
        <v>0.307</v>
      </c>
      <c r="V464" s="254">
        <v>0.29799999999999999</v>
      </c>
      <c r="W464" s="254">
        <v>0.29299999999999998</v>
      </c>
      <c r="X464" s="254">
        <v>0.27900000000000003</v>
      </c>
      <c r="Y464" s="254">
        <v>0.26600000000000001</v>
      </c>
      <c r="Z464" s="254">
        <v>0.26200000000000001</v>
      </c>
      <c r="AA464" s="249"/>
      <c r="AB464" s="255"/>
      <c r="AC464" s="255"/>
      <c r="AD464" s="255"/>
      <c r="AE464" s="255"/>
      <c r="AF464" s="255"/>
      <c r="AG464" s="255"/>
      <c r="AH464" s="249"/>
      <c r="AI464" s="249"/>
      <c r="AJ464" s="249"/>
      <c r="AK464" s="249"/>
      <c r="AL464" s="249"/>
      <c r="AM464" s="249"/>
      <c r="AN464" s="249"/>
      <c r="AO464" s="249"/>
    </row>
    <row r="465" spans="13:41" x14ac:dyDescent="0.35">
      <c r="M465" s="250">
        <v>8046</v>
      </c>
      <c r="N465" s="251" t="str">
        <f t="shared" si="64"/>
        <v/>
      </c>
      <c r="O465" s="251" t="str">
        <f t="shared" si="65"/>
        <v/>
      </c>
      <c r="P465" s="251" t="str">
        <f t="shared" si="66"/>
        <v/>
      </c>
      <c r="Q465" s="251" t="str">
        <f t="shared" si="67"/>
        <v/>
      </c>
      <c r="R465" s="251" t="str">
        <f t="shared" si="68"/>
        <v/>
      </c>
      <c r="S465" s="252" t="str">
        <f t="shared" si="69"/>
        <v/>
      </c>
      <c r="T465" s="253"/>
      <c r="U465" s="254">
        <v>0.317</v>
      </c>
      <c r="V465" s="254">
        <v>0.308</v>
      </c>
      <c r="W465" s="254">
        <v>0.30399999999999999</v>
      </c>
      <c r="X465" s="254">
        <v>0.28899999999999998</v>
      </c>
      <c r="Y465" s="254">
        <v>0.28499999999999998</v>
      </c>
      <c r="Z465" s="254">
        <v>0.27100000000000002</v>
      </c>
      <c r="AA465" s="249"/>
      <c r="AB465" s="255"/>
      <c r="AC465" s="255"/>
      <c r="AD465" s="255"/>
      <c r="AE465" s="255"/>
      <c r="AF465" s="255"/>
      <c r="AG465" s="255"/>
      <c r="AH465" s="249"/>
      <c r="AI465" s="249"/>
      <c r="AJ465" s="249"/>
      <c r="AK465" s="249"/>
      <c r="AL465" s="249"/>
      <c r="AM465" s="249"/>
      <c r="AN465" s="249"/>
      <c r="AO465" s="249"/>
    </row>
    <row r="466" spans="13:41" x14ac:dyDescent="0.35">
      <c r="M466" s="250">
        <v>8749</v>
      </c>
      <c r="N466" s="251" t="str">
        <f t="shared" si="64"/>
        <v/>
      </c>
      <c r="O466" s="251" t="str">
        <f t="shared" si="65"/>
        <v/>
      </c>
      <c r="P466" s="251" t="str">
        <f t="shared" si="66"/>
        <v/>
      </c>
      <c r="Q466" s="251" t="str">
        <f t="shared" si="67"/>
        <v/>
      </c>
      <c r="R466" s="251" t="str">
        <f t="shared" si="68"/>
        <v/>
      </c>
      <c r="S466" s="252" t="str">
        <f t="shared" si="69"/>
        <v/>
      </c>
      <c r="T466" s="253"/>
      <c r="U466" s="254">
        <v>0.32600000000000001</v>
      </c>
      <c r="V466" s="254">
        <v>0.318</v>
      </c>
      <c r="W466" s="254">
        <v>0.314</v>
      </c>
      <c r="X466" s="254">
        <v>0.3</v>
      </c>
      <c r="Y466" s="254">
        <v>0.28999999999999998</v>
      </c>
      <c r="Z466" s="254">
        <v>0.28100000000000003</v>
      </c>
      <c r="AA466" s="249"/>
      <c r="AB466" s="255"/>
      <c r="AC466" s="255"/>
      <c r="AD466" s="255"/>
      <c r="AE466" s="255"/>
      <c r="AF466" s="255"/>
      <c r="AG466" s="255"/>
      <c r="AH466" s="249"/>
      <c r="AI466" s="249"/>
      <c r="AJ466" s="249"/>
      <c r="AK466" s="249"/>
      <c r="AL466" s="249"/>
      <c r="AM466" s="249"/>
      <c r="AN466" s="249"/>
      <c r="AO466" s="249"/>
    </row>
    <row r="467" spans="13:41" x14ac:dyDescent="0.35">
      <c r="M467" s="250">
        <v>9555</v>
      </c>
      <c r="N467" s="251" t="str">
        <f t="shared" si="64"/>
        <v/>
      </c>
      <c r="O467" s="251" t="str">
        <f t="shared" si="65"/>
        <v/>
      </c>
      <c r="P467" s="251" t="str">
        <f t="shared" si="66"/>
        <v/>
      </c>
      <c r="Q467" s="251" t="str">
        <f t="shared" si="67"/>
        <v/>
      </c>
      <c r="R467" s="251" t="str">
        <f t="shared" si="68"/>
        <v/>
      </c>
      <c r="S467" s="252" t="str">
        <f t="shared" si="69"/>
        <v/>
      </c>
      <c r="T467" s="253"/>
      <c r="U467" s="254">
        <v>0.33600000000000002</v>
      </c>
      <c r="V467" s="254">
        <v>0.32700000000000001</v>
      </c>
      <c r="W467" s="254">
        <v>0.32300000000000001</v>
      </c>
      <c r="X467" s="254">
        <v>0.31</v>
      </c>
      <c r="Y467" s="254">
        <v>0.29599999999999999</v>
      </c>
      <c r="Z467" s="254">
        <v>0.29099999999999998</v>
      </c>
      <c r="AA467" s="249"/>
      <c r="AB467" s="255"/>
      <c r="AC467" s="255"/>
      <c r="AD467" s="255"/>
      <c r="AE467" s="255"/>
      <c r="AF467" s="255"/>
      <c r="AG467" s="255"/>
      <c r="AH467" s="249"/>
      <c r="AI467" s="249"/>
      <c r="AJ467" s="249"/>
      <c r="AK467" s="249"/>
      <c r="AL467" s="249"/>
      <c r="AM467" s="249"/>
      <c r="AN467" s="249"/>
      <c r="AO467" s="249"/>
    </row>
    <row r="468" spans="13:41" x14ac:dyDescent="0.35">
      <c r="M468" s="250">
        <v>10311</v>
      </c>
      <c r="N468" s="251" t="str">
        <f t="shared" si="64"/>
        <v/>
      </c>
      <c r="O468" s="251" t="str">
        <f t="shared" si="65"/>
        <v/>
      </c>
      <c r="P468" s="251" t="str">
        <f t="shared" si="66"/>
        <v/>
      </c>
      <c r="Q468" s="251" t="str">
        <f t="shared" si="67"/>
        <v/>
      </c>
      <c r="R468" s="251" t="str">
        <f t="shared" si="68"/>
        <v/>
      </c>
      <c r="S468" s="252" t="str">
        <f t="shared" si="69"/>
        <v/>
      </c>
      <c r="T468" s="253"/>
      <c r="U468" s="254">
        <v>0.35099999999999998</v>
      </c>
      <c r="V468" s="254">
        <v>0.34200000000000003</v>
      </c>
      <c r="W468" s="254">
        <v>0.33800000000000002</v>
      </c>
      <c r="X468" s="254">
        <v>0.32400000000000001</v>
      </c>
      <c r="Y468" s="254">
        <v>0.32</v>
      </c>
      <c r="Z468" s="254">
        <v>0.307</v>
      </c>
      <c r="AA468" s="249"/>
      <c r="AB468" s="255"/>
      <c r="AC468" s="255"/>
      <c r="AD468" s="255"/>
      <c r="AE468" s="255"/>
      <c r="AF468" s="255"/>
      <c r="AG468" s="255"/>
      <c r="AH468" s="249"/>
      <c r="AI468" s="249"/>
      <c r="AJ468" s="249"/>
      <c r="AK468" s="249"/>
      <c r="AL468" s="249"/>
      <c r="AM468" s="249"/>
      <c r="AN468" s="249"/>
      <c r="AO468" s="249"/>
    </row>
    <row r="469" spans="13:41" x14ac:dyDescent="0.35">
      <c r="M469" s="250">
        <v>12901</v>
      </c>
      <c r="N469" s="251" t="str">
        <f t="shared" si="64"/>
        <v/>
      </c>
      <c r="O469" s="251" t="str">
        <f t="shared" si="65"/>
        <v/>
      </c>
      <c r="P469" s="251" t="str">
        <f t="shared" si="66"/>
        <v/>
      </c>
      <c r="Q469" s="251" t="str">
        <f t="shared" si="67"/>
        <v/>
      </c>
      <c r="R469" s="251" t="str">
        <f t="shared" si="68"/>
        <v/>
      </c>
      <c r="S469" s="252" t="str">
        <f t="shared" si="69"/>
        <v/>
      </c>
      <c r="T469" s="253"/>
      <c r="U469" s="254">
        <v>0.36099999999999999</v>
      </c>
      <c r="V469" s="254">
        <v>0.35199999999999998</v>
      </c>
      <c r="W469" s="254">
        <v>0.34799999999999998</v>
      </c>
      <c r="X469" s="254">
        <v>0.33400000000000002</v>
      </c>
      <c r="Y469" s="254">
        <v>0.33</v>
      </c>
      <c r="Z469" s="254">
        <v>0.317</v>
      </c>
      <c r="AA469" s="249"/>
      <c r="AB469" s="255"/>
      <c r="AC469" s="255"/>
      <c r="AD469" s="255"/>
      <c r="AE469" s="255"/>
      <c r="AF469" s="255"/>
      <c r="AG469" s="255"/>
      <c r="AH469" s="249"/>
      <c r="AI469" s="249"/>
      <c r="AJ469" s="249"/>
      <c r="AK469" s="249"/>
      <c r="AL469" s="249"/>
      <c r="AM469" s="249"/>
      <c r="AN469" s="249"/>
      <c r="AO469" s="249"/>
    </row>
    <row r="470" spans="13:41" x14ac:dyDescent="0.35">
      <c r="M470" s="250">
        <v>12901</v>
      </c>
      <c r="N470" s="251" t="str">
        <f>IF($R$11&gt;=M469+0.01,U470,"")</f>
        <v/>
      </c>
      <c r="O470" s="251" t="str">
        <f>IF($R$11&gt;=M469,V470,"")</f>
        <v/>
      </c>
      <c r="P470" s="251" t="str">
        <f>IF($R$11&gt;=M469,W470,"")</f>
        <v/>
      </c>
      <c r="Q470" s="251" t="str">
        <f>IF($R$11&gt;=M469,X470,"")</f>
        <v/>
      </c>
      <c r="R470" s="252" t="str">
        <f>IF($R$11&gt;=M469,Y470,"")</f>
        <v/>
      </c>
      <c r="S470" s="251" t="str">
        <f>IF($R$11&gt;=M469,Z470,"")</f>
        <v/>
      </c>
      <c r="T470" s="253"/>
      <c r="U470" s="254">
        <v>0.37</v>
      </c>
      <c r="V470" s="254">
        <v>0.36199999999999999</v>
      </c>
      <c r="W470" s="254">
        <v>0.35799999999999998</v>
      </c>
      <c r="X470" s="254">
        <v>0.34399999999999997</v>
      </c>
      <c r="Y470" s="254">
        <v>0.34</v>
      </c>
      <c r="Z470" s="254">
        <v>0.32600000000000001</v>
      </c>
      <c r="AA470" s="249"/>
      <c r="AB470" s="255"/>
      <c r="AC470" s="255"/>
      <c r="AD470" s="255"/>
      <c r="AE470" s="255"/>
      <c r="AF470" s="255"/>
      <c r="AG470" s="255"/>
      <c r="AH470" s="249"/>
      <c r="AI470" s="249"/>
      <c r="AJ470" s="249"/>
      <c r="AK470" s="249"/>
      <c r="AL470" s="249"/>
      <c r="AM470" s="249"/>
      <c r="AN470" s="249"/>
      <c r="AO470" s="249"/>
    </row>
    <row r="471" spans="13:41" x14ac:dyDescent="0.35">
      <c r="M471" s="249"/>
      <c r="N471" s="280" t="str">
        <f>IF($A$15=1,IF($A$2=4,IF($I$2=0,SUM(N441:N470),""),""),"")</f>
        <v/>
      </c>
      <c r="O471" s="281" t="str">
        <f>IF($A$15=1,IF($A$2=4,IF($I$2=1,SUM(O441:O470),""),""),"")</f>
        <v/>
      </c>
      <c r="P471" s="281" t="str">
        <f>IF($A$15=1,IF($A$2=4,IF($I$2=2,SUM(P441:P470),""),""),"")</f>
        <v/>
      </c>
      <c r="Q471" s="281" t="str">
        <f>IF($A$15=1,IF($A$2=4,IF($I$2=3,SUM(Q441:Q470),""),""),"")</f>
        <v/>
      </c>
      <c r="R471" s="281" t="str">
        <f>IF($A$15=1,IF($A$2=4,IF($I$2=4,SUM(R441:R470),""),""),"")</f>
        <v/>
      </c>
      <c r="S471" s="282" t="str">
        <f>IF($A$15=1,IF($A$2=4,IF($I$2=5,SUM(S441:S470),""),""),"")</f>
        <v/>
      </c>
      <c r="T471" s="260">
        <f>SUM(N471:S471)</f>
        <v>0</v>
      </c>
      <c r="U471" s="254"/>
      <c r="V471" s="254"/>
      <c r="W471" s="254"/>
      <c r="X471" s="254"/>
      <c r="Y471" s="254"/>
      <c r="Z471" s="254"/>
      <c r="AA471" s="249"/>
      <c r="AB471" s="255"/>
      <c r="AC471" s="255"/>
      <c r="AD471" s="255"/>
      <c r="AE471" s="255"/>
      <c r="AF471" s="255"/>
      <c r="AG471" s="255"/>
      <c r="AH471" s="249"/>
      <c r="AI471" s="249"/>
      <c r="AJ471" s="249"/>
      <c r="AK471" s="249"/>
      <c r="AL471" s="249"/>
      <c r="AM471" s="249"/>
      <c r="AN471" s="249"/>
      <c r="AO471" s="249"/>
    </row>
    <row r="472" spans="13:41" x14ac:dyDescent="0.35">
      <c r="M472" s="249"/>
      <c r="N472" s="249"/>
      <c r="O472" s="249"/>
      <c r="P472" s="249"/>
      <c r="Q472" s="249"/>
      <c r="R472" s="249"/>
      <c r="S472" s="249"/>
      <c r="T472" s="253"/>
      <c r="U472" s="253"/>
      <c r="V472" s="253"/>
      <c r="W472" s="253"/>
      <c r="X472" s="253"/>
      <c r="Y472" s="253"/>
      <c r="Z472" s="253"/>
      <c r="AA472" s="249"/>
      <c r="AB472" s="249"/>
      <c r="AC472" s="249"/>
      <c r="AD472" s="249"/>
      <c r="AE472" s="249"/>
      <c r="AF472" s="249"/>
      <c r="AG472" s="249"/>
      <c r="AH472" s="249"/>
      <c r="AI472" s="249"/>
      <c r="AJ472" s="249"/>
      <c r="AK472" s="249"/>
      <c r="AL472" s="249"/>
      <c r="AM472" s="249"/>
      <c r="AN472" s="249"/>
      <c r="AO472" s="249"/>
    </row>
    <row r="473" spans="13:41" x14ac:dyDescent="0.35">
      <c r="M473" s="249"/>
      <c r="N473" s="249"/>
      <c r="O473" s="249"/>
      <c r="P473" s="249"/>
      <c r="Q473" s="249"/>
      <c r="R473" s="249"/>
      <c r="S473" s="249"/>
      <c r="T473" s="253"/>
      <c r="U473" s="253"/>
      <c r="V473" s="253"/>
      <c r="W473" s="253"/>
      <c r="X473" s="253"/>
      <c r="Y473" s="253"/>
      <c r="Z473" s="253"/>
      <c r="AA473" s="249"/>
      <c r="AB473" s="249"/>
      <c r="AC473" s="249"/>
      <c r="AD473" s="249"/>
      <c r="AE473" s="249"/>
      <c r="AF473" s="249"/>
      <c r="AG473" s="249"/>
      <c r="AH473" s="249"/>
      <c r="AI473" s="249"/>
      <c r="AJ473" s="249"/>
      <c r="AK473" s="249"/>
      <c r="AL473" s="249"/>
      <c r="AM473" s="249"/>
      <c r="AN473" s="249"/>
      <c r="AO473" s="249"/>
    </row>
    <row r="474" spans="13:41" x14ac:dyDescent="0.35">
      <c r="M474" s="249"/>
      <c r="N474" s="249"/>
      <c r="O474" s="249"/>
      <c r="P474" s="249"/>
      <c r="Q474" s="249"/>
      <c r="R474" s="249"/>
      <c r="S474" s="249"/>
      <c r="T474" s="253"/>
      <c r="U474" s="253"/>
      <c r="V474" s="253"/>
      <c r="W474" s="253"/>
      <c r="X474" s="253"/>
      <c r="Y474" s="253"/>
      <c r="Z474" s="253"/>
      <c r="AA474" s="249"/>
      <c r="AB474" s="249"/>
      <c r="AC474" s="249"/>
      <c r="AD474" s="249"/>
      <c r="AE474" s="249"/>
      <c r="AF474" s="249"/>
      <c r="AG474" s="249"/>
      <c r="AH474" s="249"/>
      <c r="AI474" s="249"/>
      <c r="AJ474" s="249"/>
      <c r="AK474" s="249"/>
      <c r="AL474" s="249"/>
      <c r="AM474" s="249"/>
      <c r="AN474" s="249"/>
      <c r="AO474" s="249"/>
    </row>
    <row r="475" spans="13:41" x14ac:dyDescent="0.35">
      <c r="M475" s="263" t="s">
        <v>254</v>
      </c>
      <c r="N475" s="264"/>
      <c r="O475" s="263" t="s">
        <v>255</v>
      </c>
      <c r="P475" s="264"/>
      <c r="Q475" s="264"/>
      <c r="R475" s="264"/>
      <c r="S475" s="249"/>
      <c r="T475" s="253"/>
      <c r="U475" s="265" t="str">
        <f>O475</f>
        <v>Tabelas de IRS de retenção na fonte referente a 2023 no Continente</v>
      </c>
      <c r="V475" s="253"/>
      <c r="W475" s="253"/>
      <c r="X475" s="253"/>
      <c r="Y475" s="253"/>
      <c r="Z475" s="253"/>
      <c r="AA475" s="249"/>
      <c r="AB475" s="249"/>
      <c r="AC475" s="249"/>
      <c r="AD475" s="249"/>
      <c r="AE475" s="249"/>
      <c r="AF475" s="249"/>
      <c r="AG475" s="249"/>
      <c r="AH475" s="249"/>
      <c r="AI475" s="249"/>
      <c r="AJ475" s="249"/>
      <c r="AK475" s="249"/>
      <c r="AL475" s="249"/>
      <c r="AM475" s="249"/>
      <c r="AN475" s="249"/>
      <c r="AO475" s="249"/>
    </row>
    <row r="476" spans="13:41" x14ac:dyDescent="0.35">
      <c r="M476" s="249"/>
      <c r="N476" s="264"/>
      <c r="O476" s="263" t="s">
        <v>189</v>
      </c>
      <c r="P476" s="249"/>
      <c r="Q476" s="264"/>
      <c r="R476" s="264"/>
      <c r="S476" s="249"/>
      <c r="T476" s="253"/>
      <c r="U476" s="265" t="str">
        <f>O476</f>
        <v>T A B E L A   V - TRABALHO DEPENDENTE</v>
      </c>
      <c r="V476" s="253"/>
      <c r="W476" s="253"/>
      <c r="X476" s="253"/>
      <c r="Y476" s="253"/>
      <c r="Z476" s="253"/>
      <c r="AA476" s="249"/>
      <c r="AB476" s="249"/>
      <c r="AC476" s="249"/>
      <c r="AD476" s="249"/>
      <c r="AE476" s="249"/>
      <c r="AF476" s="249"/>
      <c r="AG476" s="249"/>
      <c r="AH476" s="249"/>
      <c r="AI476" s="249"/>
      <c r="AJ476" s="249"/>
      <c r="AK476" s="249"/>
      <c r="AL476" s="249"/>
      <c r="AM476" s="249"/>
      <c r="AN476" s="249"/>
      <c r="AO476" s="249"/>
    </row>
    <row r="477" spans="13:41" x14ac:dyDescent="0.35">
      <c r="M477" s="266"/>
      <c r="N477" s="264"/>
      <c r="O477" s="263" t="s">
        <v>190</v>
      </c>
      <c r="P477" s="249"/>
      <c r="Q477" s="264"/>
      <c r="R477" s="264"/>
      <c r="S477" s="249"/>
      <c r="T477" s="253"/>
      <c r="U477" s="265" t="str">
        <f>O477</f>
        <v>CASADO UNICO TITULAR - DEFICIENTE</v>
      </c>
      <c r="V477" s="253"/>
      <c r="W477" s="253"/>
      <c r="X477" s="253"/>
      <c r="Y477" s="253"/>
      <c r="Z477" s="253"/>
      <c r="AA477" s="249"/>
      <c r="AB477" s="249"/>
      <c r="AC477" s="249"/>
      <c r="AD477" s="249"/>
      <c r="AE477" s="249"/>
      <c r="AF477" s="249"/>
      <c r="AG477" s="249"/>
      <c r="AH477" s="249"/>
      <c r="AI477" s="249"/>
      <c r="AJ477" s="249"/>
      <c r="AK477" s="249"/>
      <c r="AL477" s="249"/>
      <c r="AM477" s="249"/>
      <c r="AN477" s="249"/>
      <c r="AO477" s="249"/>
    </row>
    <row r="478" spans="13:41" x14ac:dyDescent="0.35">
      <c r="M478" s="267" t="s">
        <v>154</v>
      </c>
      <c r="N478" s="268" t="s">
        <v>155</v>
      </c>
      <c r="O478" s="268" t="s">
        <v>156</v>
      </c>
      <c r="P478" s="268" t="s">
        <v>157</v>
      </c>
      <c r="Q478" s="268" t="s">
        <v>158</v>
      </c>
      <c r="R478" s="268" t="s">
        <v>159</v>
      </c>
      <c r="S478" s="268" t="s">
        <v>160</v>
      </c>
      <c r="T478" s="253"/>
      <c r="U478" s="269" t="str">
        <f t="shared" ref="U478:Z478" si="70">N478</f>
        <v>0 dep</v>
      </c>
      <c r="V478" s="269" t="str">
        <f t="shared" si="70"/>
        <v>1 dep</v>
      </c>
      <c r="W478" s="269" t="str">
        <f t="shared" si="70"/>
        <v>2 dep</v>
      </c>
      <c r="X478" s="269" t="str">
        <f t="shared" si="70"/>
        <v>3 dep</v>
      </c>
      <c r="Y478" s="269" t="str">
        <f t="shared" si="70"/>
        <v>4 dep</v>
      </c>
      <c r="Z478" s="269" t="str">
        <f t="shared" si="70"/>
        <v>5 dep. ou +</v>
      </c>
      <c r="AA478" s="249"/>
      <c r="AB478" s="249"/>
      <c r="AC478" s="249"/>
      <c r="AD478" s="249"/>
      <c r="AE478" s="249"/>
      <c r="AF478" s="249"/>
      <c r="AG478" s="249"/>
      <c r="AH478" s="249"/>
      <c r="AI478" s="249"/>
      <c r="AJ478" s="249"/>
      <c r="AK478" s="249"/>
      <c r="AL478" s="249"/>
      <c r="AM478" s="249"/>
      <c r="AN478" s="249"/>
      <c r="AO478" s="249"/>
    </row>
    <row r="479" spans="13:41" x14ac:dyDescent="0.35">
      <c r="M479" s="250">
        <v>1698</v>
      </c>
      <c r="N479" s="251">
        <f>IF($R$11&lt;=M479,IF($R$11&gt;=0,0,""),"")</f>
        <v>0</v>
      </c>
      <c r="O479" s="251">
        <f>IF($R$11&lt;=M479,IF($R$11&gt;=0,0,""),"")</f>
        <v>0</v>
      </c>
      <c r="P479" s="251">
        <f>IF($R$11&lt;=M479,IF($R$11&gt;=0,0,""),"")</f>
        <v>0</v>
      </c>
      <c r="Q479" s="251">
        <f>IF($R$11&lt;=M479,IF($R$11&gt;=0,0,""),"")</f>
        <v>0</v>
      </c>
      <c r="R479" s="251">
        <f>IF($R$11&lt;=M479,IF($R$11&gt;=0,0,""),"")</f>
        <v>0</v>
      </c>
      <c r="S479" s="251">
        <f>IF($R$11&lt;=M479,IF($R$11&gt;=0,0,""),"")</f>
        <v>0</v>
      </c>
      <c r="T479" s="253"/>
      <c r="U479" s="254">
        <v>0</v>
      </c>
      <c r="V479" s="254">
        <v>0</v>
      </c>
      <c r="W479" s="254">
        <v>0</v>
      </c>
      <c r="X479" s="254">
        <v>0</v>
      </c>
      <c r="Y479" s="254">
        <v>0</v>
      </c>
      <c r="Z479" s="254">
        <v>0</v>
      </c>
      <c r="AA479" s="249"/>
      <c r="AB479" s="249"/>
      <c r="AC479" s="249"/>
      <c r="AD479" s="249"/>
      <c r="AE479" s="249"/>
      <c r="AF479" s="249"/>
      <c r="AG479" s="249"/>
      <c r="AH479" s="249"/>
      <c r="AI479" s="249"/>
      <c r="AJ479" s="249"/>
      <c r="AK479" s="249"/>
      <c r="AL479" s="249"/>
      <c r="AM479" s="249"/>
      <c r="AN479" s="249"/>
      <c r="AO479" s="249"/>
    </row>
    <row r="480" spans="13:41" x14ac:dyDescent="0.35">
      <c r="M480" s="250">
        <v>1804</v>
      </c>
      <c r="N480" s="251" t="str">
        <f>IF($R$11&lt;=M480,IF($R$11&gt;=M479+0.01,U480,""),"")</f>
        <v/>
      </c>
      <c r="O480" s="251" t="str">
        <f>IF($R$11&lt;=M480,IF($R$11&gt;=M479+0.01,V480,""),"")</f>
        <v/>
      </c>
      <c r="P480" s="251" t="str">
        <f>IF($R$11&lt;=M480,IF($R$11&gt;=M479+0.01,W480,""),"")</f>
        <v/>
      </c>
      <c r="Q480" s="251" t="str">
        <f>IF($R$11&lt;=M480,IF($R$11&gt;=M479+0.01,X480,""),"")</f>
        <v/>
      </c>
      <c r="R480" s="251" t="str">
        <f>IF($R$11&lt;=M480,IF($R$11&gt;=M479+0.01,Y480,""),"")</f>
        <v/>
      </c>
      <c r="S480" s="252" t="str">
        <f>IF($R$11&lt;=M480,IF($R$11&gt;=M479+0.01,Z480,""),"")</f>
        <v/>
      </c>
      <c r="T480" s="253"/>
      <c r="U480" s="254">
        <v>8.0000000000000002E-3</v>
      </c>
      <c r="V480" s="254">
        <v>0</v>
      </c>
      <c r="W480" s="254">
        <v>0</v>
      </c>
      <c r="X480" s="254">
        <v>0</v>
      </c>
      <c r="Y480" s="254">
        <v>0</v>
      </c>
      <c r="Z480" s="254">
        <v>0</v>
      </c>
      <c r="AA480" s="249"/>
      <c r="AB480" s="255"/>
      <c r="AC480" s="255"/>
      <c r="AD480" s="255"/>
      <c r="AE480" s="255"/>
      <c r="AF480" s="255"/>
      <c r="AG480" s="255"/>
      <c r="AH480" s="249"/>
      <c r="AI480" s="249"/>
      <c r="AJ480" s="249"/>
      <c r="AK480" s="249"/>
      <c r="AL480" s="249"/>
      <c r="AM480" s="249"/>
      <c r="AN480" s="249"/>
      <c r="AO480" s="249"/>
    </row>
    <row r="481" spans="13:41" x14ac:dyDescent="0.35">
      <c r="M481" s="250">
        <v>1961</v>
      </c>
      <c r="N481" s="251" t="str">
        <f>IF($R$11&lt;=M481,IF($R$11&gt;=M480+0.01,U481,""),"")</f>
        <v/>
      </c>
      <c r="O481" s="251" t="str">
        <f>IF($R$11&lt;=M481,IF($R$11&gt;=M480+0.01,V481,""),"")</f>
        <v/>
      </c>
      <c r="P481" s="251" t="str">
        <f>IF($R$11&lt;=M481,IF($R$11&gt;=M480+0.01,W481,""),"")</f>
        <v/>
      </c>
      <c r="Q481" s="251" t="str">
        <f>IF($R$11&lt;=M481,IF($R$11&gt;=M480+0.01,X481,""),"")</f>
        <v/>
      </c>
      <c r="R481" s="251" t="str">
        <f>IF($R$11&lt;=M481,IF($R$11&gt;=M480+0.01,Y481,""),"")</f>
        <v/>
      </c>
      <c r="S481" s="252" t="str">
        <f>IF($R$11&lt;=M481,IF($R$11&gt;=M480+0.01,Z481,""),"")</f>
        <v/>
      </c>
      <c r="T481" s="253"/>
      <c r="U481" s="254">
        <v>3.6999999999999998E-2</v>
      </c>
      <c r="V481" s="254">
        <v>0.01</v>
      </c>
      <c r="W481" s="254">
        <v>2E-3</v>
      </c>
      <c r="X481" s="254">
        <v>0</v>
      </c>
      <c r="Y481" s="254">
        <v>0</v>
      </c>
      <c r="Z481" s="254">
        <v>0</v>
      </c>
      <c r="AA481" s="249"/>
      <c r="AB481" s="255"/>
      <c r="AC481" s="255"/>
      <c r="AD481" s="255"/>
      <c r="AE481" s="255"/>
      <c r="AF481" s="255"/>
      <c r="AG481" s="255"/>
      <c r="AH481" s="249"/>
      <c r="AI481" s="249"/>
      <c r="AJ481" s="249"/>
      <c r="AK481" s="249"/>
      <c r="AL481" s="249"/>
      <c r="AM481" s="249"/>
      <c r="AN481" s="249"/>
      <c r="AO481" s="249"/>
    </row>
    <row r="482" spans="13:41" x14ac:dyDescent="0.35">
      <c r="M482" s="250">
        <v>2030</v>
      </c>
      <c r="N482" s="251" t="str">
        <f>IF($R$11&lt;=M482,IF($R$11&gt;=M481+0.01,U482,""),"")</f>
        <v/>
      </c>
      <c r="O482" s="251" t="str">
        <f>IF($R$11&lt;=M482,IF($R$11&gt;=M481+0.01,V482,""),"")</f>
        <v/>
      </c>
      <c r="P482" s="251" t="str">
        <f>IF($R$11&lt;=M482,IF($R$11&gt;=M481+0.01,W482,""),"")</f>
        <v/>
      </c>
      <c r="Q482" s="251" t="str">
        <f>IF($R$11&lt;=M482,IF($R$11&gt;=M481+0.01,X482,""),"")</f>
        <v/>
      </c>
      <c r="R482" s="251" t="str">
        <f>IF($R$11&lt;=M482,IF($R$11&gt;=M481+0.01,Y482,""),"")</f>
        <v/>
      </c>
      <c r="S482" s="252" t="str">
        <f>IF($R$11&lt;=M482,IF($R$11&gt;=M481+0.01,Z482,""),"")</f>
        <v/>
      </c>
      <c r="T482" s="253"/>
      <c r="U482" s="254">
        <v>4.7E-2</v>
      </c>
      <c r="V482" s="254">
        <v>0.03</v>
      </c>
      <c r="W482" s="254">
        <v>2.1999999999999999E-2</v>
      </c>
      <c r="X482" s="254">
        <v>4.0000000000000001E-3</v>
      </c>
      <c r="Y482" s="254">
        <v>0</v>
      </c>
      <c r="Z482" s="254">
        <v>0</v>
      </c>
      <c r="AA482" s="249"/>
      <c r="AB482" s="255"/>
      <c r="AC482" s="255"/>
      <c r="AD482" s="255"/>
      <c r="AE482" s="255"/>
      <c r="AF482" s="255"/>
      <c r="AG482" s="255"/>
      <c r="AH482" s="249"/>
      <c r="AI482" s="249"/>
      <c r="AJ482" s="249"/>
      <c r="AK482" s="249"/>
      <c r="AL482" s="249"/>
      <c r="AM482" s="249"/>
      <c r="AN482" s="249"/>
      <c r="AO482" s="249"/>
    </row>
    <row r="483" spans="13:41" x14ac:dyDescent="0.35">
      <c r="M483" s="250">
        <v>2411</v>
      </c>
      <c r="N483" s="251" t="str">
        <f t="shared" ref="N483:N506" si="71">IF($R$11&lt;=M483,IF($R$11&gt;=M482+0.01,U483,""),"")</f>
        <v/>
      </c>
      <c r="O483" s="251" t="str">
        <f t="shared" ref="O483:O506" si="72">IF($R$11&lt;=M483,IF($R$11&gt;=M482+0.01,V483,""),"")</f>
        <v/>
      </c>
      <c r="P483" s="251" t="str">
        <f t="shared" ref="P483:P506" si="73">IF($R$11&lt;=M483,IF($R$11&gt;=M482+0.01,W483,""),"")</f>
        <v/>
      </c>
      <c r="Q483" s="251" t="str">
        <f t="shared" ref="Q483:Q506" si="74">IF($R$11&lt;=M483,IF($R$11&gt;=M482+0.01,X483,""),"")</f>
        <v/>
      </c>
      <c r="R483" s="251" t="str">
        <f t="shared" ref="R483:R506" si="75">IF($R$11&lt;=M483,IF($R$11&gt;=M482+0.01,Y483,""),"")</f>
        <v/>
      </c>
      <c r="S483" s="252" t="str">
        <f t="shared" ref="S483:S506" si="76">IF($R$11&lt;=M483,IF($R$11&gt;=M482+0.01,Z483,""),"")</f>
        <v/>
      </c>
      <c r="T483" s="253"/>
      <c r="U483" s="254">
        <v>5.7000000000000002E-2</v>
      </c>
      <c r="V483" s="254">
        <v>0.05</v>
      </c>
      <c r="W483" s="254">
        <v>3.2000000000000001E-2</v>
      </c>
      <c r="X483" s="254">
        <v>1.4E-2</v>
      </c>
      <c r="Y483" s="254">
        <v>0</v>
      </c>
      <c r="Z483" s="254">
        <v>0</v>
      </c>
      <c r="AA483" s="249"/>
      <c r="AB483" s="255"/>
      <c r="AC483" s="255"/>
      <c r="AD483" s="255"/>
      <c r="AE483" s="255"/>
      <c r="AF483" s="255"/>
      <c r="AG483" s="255"/>
      <c r="AH483" s="249"/>
      <c r="AI483" s="249"/>
      <c r="AJ483" s="249"/>
      <c r="AK483" s="249"/>
      <c r="AL483" s="249"/>
      <c r="AM483" s="249"/>
      <c r="AN483" s="249"/>
      <c r="AO483" s="249"/>
    </row>
    <row r="484" spans="13:41" x14ac:dyDescent="0.35">
      <c r="M484" s="250">
        <v>2594</v>
      </c>
      <c r="N484" s="251" t="str">
        <f t="shared" si="71"/>
        <v/>
      </c>
      <c r="O484" s="251" t="str">
        <f t="shared" si="72"/>
        <v/>
      </c>
      <c r="P484" s="251" t="str">
        <f t="shared" si="73"/>
        <v/>
      </c>
      <c r="Q484" s="251" t="str">
        <f t="shared" si="74"/>
        <v/>
      </c>
      <c r="R484" s="251" t="str">
        <f t="shared" si="75"/>
        <v/>
      </c>
      <c r="S484" s="252" t="str">
        <f t="shared" si="76"/>
        <v/>
      </c>
      <c r="T484" s="253"/>
      <c r="U484" s="254">
        <v>6.6000000000000003E-2</v>
      </c>
      <c r="V484" s="254">
        <v>0.06</v>
      </c>
      <c r="W484" s="254">
        <v>4.2000000000000003E-2</v>
      </c>
      <c r="X484" s="254">
        <v>2.4E-2</v>
      </c>
      <c r="Y484" s="254">
        <v>6.0000000000000001E-3</v>
      </c>
      <c r="Z484" s="254">
        <v>0</v>
      </c>
      <c r="AA484" s="249"/>
      <c r="AB484" s="255"/>
      <c r="AC484" s="255"/>
      <c r="AD484" s="255"/>
      <c r="AE484" s="255"/>
      <c r="AF484" s="255"/>
      <c r="AG484" s="255"/>
      <c r="AH484" s="249"/>
      <c r="AI484" s="249"/>
      <c r="AJ484" s="249"/>
      <c r="AK484" s="249"/>
      <c r="AL484" s="249"/>
      <c r="AM484" s="249"/>
      <c r="AN484" s="249"/>
      <c r="AO484" s="249"/>
    </row>
    <row r="485" spans="13:41" x14ac:dyDescent="0.35">
      <c r="M485" s="250">
        <v>2848</v>
      </c>
      <c r="N485" s="251" t="str">
        <f t="shared" si="71"/>
        <v/>
      </c>
      <c r="O485" s="251" t="str">
        <f t="shared" si="72"/>
        <v/>
      </c>
      <c r="P485" s="251" t="str">
        <f t="shared" si="73"/>
        <v/>
      </c>
      <c r="Q485" s="251" t="str">
        <f t="shared" si="74"/>
        <v/>
      </c>
      <c r="R485" s="251" t="str">
        <f t="shared" si="75"/>
        <v/>
      </c>
      <c r="S485" s="252" t="str">
        <f t="shared" si="76"/>
        <v/>
      </c>
      <c r="T485" s="253"/>
      <c r="U485" s="254">
        <v>8.5000000000000006E-2</v>
      </c>
      <c r="V485" s="254">
        <v>7.8E-2</v>
      </c>
      <c r="W485" s="254">
        <v>6.2E-2</v>
      </c>
      <c r="X485" s="254">
        <v>4.3999999999999997E-2</v>
      </c>
      <c r="Y485" s="254">
        <v>3.5999999999999997E-2</v>
      </c>
      <c r="Z485" s="254">
        <v>1.7999999999999999E-2</v>
      </c>
      <c r="AA485" s="249"/>
      <c r="AB485" s="255"/>
      <c r="AC485" s="255"/>
      <c r="AD485" s="255"/>
      <c r="AE485" s="255"/>
      <c r="AF485" s="255"/>
      <c r="AG485" s="255"/>
      <c r="AH485" s="249"/>
      <c r="AI485" s="249"/>
      <c r="AJ485" s="249"/>
      <c r="AK485" s="249"/>
      <c r="AL485" s="249"/>
      <c r="AM485" s="249"/>
      <c r="AN485" s="249"/>
      <c r="AO485" s="249"/>
    </row>
    <row r="486" spans="13:41" x14ac:dyDescent="0.35">
      <c r="M486" s="250">
        <v>3058</v>
      </c>
      <c r="N486" s="251" t="str">
        <f t="shared" si="71"/>
        <v/>
      </c>
      <c r="O486" s="251" t="str">
        <f t="shared" si="72"/>
        <v/>
      </c>
      <c r="P486" s="251" t="str">
        <f t="shared" si="73"/>
        <v/>
      </c>
      <c r="Q486" s="251" t="str">
        <f t="shared" si="74"/>
        <v/>
      </c>
      <c r="R486" s="251" t="str">
        <f t="shared" si="75"/>
        <v/>
      </c>
      <c r="S486" s="252" t="str">
        <f t="shared" si="76"/>
        <v/>
      </c>
      <c r="T486" s="253"/>
      <c r="U486" s="254">
        <v>9.5000000000000001E-2</v>
      </c>
      <c r="V486" s="254">
        <v>8.7999999999999995E-2</v>
      </c>
      <c r="W486" s="254">
        <v>7.1999999999999995E-2</v>
      </c>
      <c r="X486" s="254">
        <v>5.3999999999999999E-2</v>
      </c>
      <c r="Y486" s="254">
        <v>4.5999999999999999E-2</v>
      </c>
      <c r="Z486" s="254">
        <v>2.8000000000000001E-2</v>
      </c>
      <c r="AA486" s="249"/>
      <c r="AB486" s="255"/>
      <c r="AC486" s="255"/>
      <c r="AD486" s="255"/>
      <c r="AE486" s="255"/>
      <c r="AF486" s="255"/>
      <c r="AG486" s="255"/>
      <c r="AH486" s="249"/>
      <c r="AI486" s="249"/>
      <c r="AJ486" s="249"/>
      <c r="AK486" s="249"/>
      <c r="AL486" s="249"/>
      <c r="AM486" s="249"/>
      <c r="AN486" s="249"/>
      <c r="AO486" s="249"/>
    </row>
    <row r="487" spans="13:41" x14ac:dyDescent="0.35">
      <c r="M487" s="250">
        <v>3279</v>
      </c>
      <c r="N487" s="251" t="str">
        <f t="shared" si="71"/>
        <v/>
      </c>
      <c r="O487" s="251" t="str">
        <f t="shared" si="72"/>
        <v/>
      </c>
      <c r="P487" s="251" t="str">
        <f t="shared" si="73"/>
        <v/>
      </c>
      <c r="Q487" s="251" t="str">
        <f t="shared" si="74"/>
        <v/>
      </c>
      <c r="R487" s="251" t="str">
        <f t="shared" si="75"/>
        <v/>
      </c>
      <c r="S487" s="252" t="str">
        <f t="shared" si="76"/>
        <v/>
      </c>
      <c r="T487" s="253"/>
      <c r="U487" s="254">
        <v>0.11</v>
      </c>
      <c r="V487" s="254">
        <v>0.10299999999999999</v>
      </c>
      <c r="W487" s="254">
        <v>8.5999999999999993E-2</v>
      </c>
      <c r="X487" s="254">
        <v>6.9000000000000006E-2</v>
      </c>
      <c r="Y487" s="254">
        <v>6.0999999999999999E-2</v>
      </c>
      <c r="Z487" s="254">
        <v>4.2999999999999997E-2</v>
      </c>
      <c r="AA487" s="249"/>
      <c r="AB487" s="255"/>
      <c r="AC487" s="255"/>
      <c r="AD487" s="255"/>
      <c r="AE487" s="255"/>
      <c r="AF487" s="255"/>
      <c r="AG487" s="255"/>
      <c r="AH487" s="249"/>
      <c r="AI487" s="249"/>
      <c r="AJ487" s="249"/>
      <c r="AK487" s="249"/>
      <c r="AL487" s="249"/>
      <c r="AM487" s="249"/>
      <c r="AN487" s="249"/>
      <c r="AO487" s="249"/>
    </row>
    <row r="488" spans="13:41" x14ac:dyDescent="0.35">
      <c r="M488" s="250">
        <v>3455</v>
      </c>
      <c r="N488" s="251" t="str">
        <f t="shared" si="71"/>
        <v/>
      </c>
      <c r="O488" s="251" t="str">
        <f t="shared" si="72"/>
        <v/>
      </c>
      <c r="P488" s="251" t="str">
        <f t="shared" si="73"/>
        <v/>
      </c>
      <c r="Q488" s="251" t="str">
        <f t="shared" si="74"/>
        <v/>
      </c>
      <c r="R488" s="251" t="str">
        <f t="shared" si="75"/>
        <v/>
      </c>
      <c r="S488" s="252" t="str">
        <f t="shared" si="76"/>
        <v/>
      </c>
      <c r="T488" s="253"/>
      <c r="U488" s="254">
        <v>0.122</v>
      </c>
      <c r="V488" s="254">
        <v>0.11899999999999999</v>
      </c>
      <c r="W488" s="254">
        <v>0.105</v>
      </c>
      <c r="X488" s="254">
        <v>9.0999999999999998E-2</v>
      </c>
      <c r="Y488" s="254">
        <v>8.6999999999999994E-2</v>
      </c>
      <c r="Z488" s="254">
        <v>8.3000000000000004E-2</v>
      </c>
      <c r="AA488" s="249"/>
      <c r="AB488" s="255"/>
      <c r="AC488" s="255"/>
      <c r="AD488" s="255"/>
      <c r="AE488" s="255"/>
      <c r="AF488" s="255"/>
      <c r="AG488" s="255"/>
      <c r="AH488" s="249"/>
      <c r="AI488" s="249"/>
      <c r="AJ488" s="249"/>
      <c r="AK488" s="249"/>
      <c r="AL488" s="249"/>
      <c r="AM488" s="249"/>
      <c r="AN488" s="249"/>
      <c r="AO488" s="249"/>
    </row>
    <row r="489" spans="13:41" x14ac:dyDescent="0.35">
      <c r="M489" s="250">
        <v>3616</v>
      </c>
      <c r="N489" s="251" t="str">
        <f t="shared" si="71"/>
        <v/>
      </c>
      <c r="O489" s="251" t="str">
        <f t="shared" si="72"/>
        <v/>
      </c>
      <c r="P489" s="251" t="str">
        <f t="shared" si="73"/>
        <v/>
      </c>
      <c r="Q489" s="251" t="str">
        <f t="shared" si="74"/>
        <v/>
      </c>
      <c r="R489" s="251" t="str">
        <f t="shared" si="75"/>
        <v/>
      </c>
      <c r="S489" s="252" t="str">
        <f t="shared" si="76"/>
        <v/>
      </c>
      <c r="T489" s="253"/>
      <c r="U489" s="254">
        <v>0.13600000000000001</v>
      </c>
      <c r="V489" s="254">
        <v>0.13500000000000001</v>
      </c>
      <c r="W489" s="254">
        <v>0.12</v>
      </c>
      <c r="X489" s="254">
        <v>0.106</v>
      </c>
      <c r="Y489" s="254">
        <v>0.10199999999999999</v>
      </c>
      <c r="Z489" s="254">
        <v>9.8000000000000004E-2</v>
      </c>
      <c r="AA489" s="249"/>
      <c r="AB489" s="255"/>
      <c r="AC489" s="255"/>
      <c r="AD489" s="255"/>
      <c r="AE489" s="255"/>
      <c r="AF489" s="255"/>
      <c r="AG489" s="255"/>
      <c r="AH489" s="249"/>
      <c r="AI489" s="249"/>
      <c r="AJ489" s="249"/>
      <c r="AK489" s="249"/>
      <c r="AL489" s="249"/>
      <c r="AM489" s="249"/>
      <c r="AN489" s="249"/>
      <c r="AO489" s="249"/>
    </row>
    <row r="490" spans="13:41" x14ac:dyDescent="0.35">
      <c r="M490" s="250">
        <v>3722</v>
      </c>
      <c r="N490" s="251" t="str">
        <f t="shared" si="71"/>
        <v/>
      </c>
      <c r="O490" s="251" t="str">
        <f t="shared" si="72"/>
        <v/>
      </c>
      <c r="P490" s="251" t="str">
        <f t="shared" si="73"/>
        <v/>
      </c>
      <c r="Q490" s="251" t="str">
        <f t="shared" si="74"/>
        <v/>
      </c>
      <c r="R490" s="251" t="str">
        <f t="shared" si="75"/>
        <v/>
      </c>
      <c r="S490" s="252" t="str">
        <f t="shared" si="76"/>
        <v/>
      </c>
      <c r="T490" s="253"/>
      <c r="U490" s="254">
        <v>0.14599999999999999</v>
      </c>
      <c r="V490" s="254">
        <v>0.14499999999999999</v>
      </c>
      <c r="W490" s="254">
        <v>0.14099999999999999</v>
      </c>
      <c r="X490" s="254">
        <v>0.11600000000000001</v>
      </c>
      <c r="Y490" s="254">
        <v>0.112</v>
      </c>
      <c r="Z490" s="254">
        <v>0.108</v>
      </c>
      <c r="AA490" s="249"/>
      <c r="AB490" s="255"/>
      <c r="AC490" s="255"/>
      <c r="AD490" s="255"/>
      <c r="AE490" s="255"/>
      <c r="AF490" s="255"/>
      <c r="AG490" s="255"/>
      <c r="AH490" s="249"/>
      <c r="AI490" s="249"/>
      <c r="AJ490" s="249"/>
      <c r="AK490" s="249"/>
      <c r="AL490" s="249"/>
      <c r="AM490" s="249"/>
      <c r="AN490" s="249"/>
      <c r="AO490" s="249"/>
    </row>
    <row r="491" spans="13:41" x14ac:dyDescent="0.35">
      <c r="M491" s="250">
        <v>3938</v>
      </c>
      <c r="N491" s="251" t="str">
        <f t="shared" si="71"/>
        <v/>
      </c>
      <c r="O491" s="251" t="str">
        <f t="shared" si="72"/>
        <v/>
      </c>
      <c r="P491" s="251" t="str">
        <f t="shared" si="73"/>
        <v/>
      </c>
      <c r="Q491" s="251" t="str">
        <f t="shared" si="74"/>
        <v/>
      </c>
      <c r="R491" s="251" t="str">
        <f t="shared" si="75"/>
        <v/>
      </c>
      <c r="S491" s="252" t="str">
        <f t="shared" si="76"/>
        <v/>
      </c>
      <c r="T491" s="253"/>
      <c r="U491" s="254">
        <v>0.156</v>
      </c>
      <c r="V491" s="254">
        <v>0.155</v>
      </c>
      <c r="W491" s="254">
        <v>0.151</v>
      </c>
      <c r="X491" s="254">
        <v>0.127</v>
      </c>
      <c r="Y491" s="254">
        <v>0.122</v>
      </c>
      <c r="Z491" s="254">
        <v>0.11799999999999999</v>
      </c>
      <c r="AA491" s="249"/>
      <c r="AB491" s="255"/>
      <c r="AC491" s="255"/>
      <c r="AD491" s="255"/>
      <c r="AE491" s="255"/>
      <c r="AF491" s="255"/>
      <c r="AG491" s="255"/>
      <c r="AH491" s="249"/>
      <c r="AI491" s="249"/>
      <c r="AJ491" s="249"/>
      <c r="AK491" s="249"/>
      <c r="AL491" s="249"/>
      <c r="AM491" s="249"/>
      <c r="AN491" s="249"/>
      <c r="AO491" s="249"/>
    </row>
    <row r="492" spans="13:41" x14ac:dyDescent="0.35">
      <c r="M492" s="250">
        <v>4048</v>
      </c>
      <c r="N492" s="251" t="str">
        <f t="shared" si="71"/>
        <v/>
      </c>
      <c r="O492" s="251" t="str">
        <f t="shared" si="72"/>
        <v/>
      </c>
      <c r="P492" s="251" t="str">
        <f t="shared" si="73"/>
        <v/>
      </c>
      <c r="Q492" s="251" t="str">
        <f t="shared" si="74"/>
        <v/>
      </c>
      <c r="R492" s="251" t="str">
        <f t="shared" si="75"/>
        <v/>
      </c>
      <c r="S492" s="252" t="str">
        <f t="shared" si="76"/>
        <v/>
      </c>
      <c r="T492" s="253"/>
      <c r="U492" s="254">
        <v>0.16600000000000001</v>
      </c>
      <c r="V492" s="254">
        <v>0.16500000000000001</v>
      </c>
      <c r="W492" s="254">
        <v>0.161</v>
      </c>
      <c r="X492" s="254">
        <v>0.13700000000000001</v>
      </c>
      <c r="Y492" s="254">
        <v>0.13300000000000001</v>
      </c>
      <c r="Z492" s="254">
        <v>0.127</v>
      </c>
      <c r="AA492" s="249"/>
      <c r="AB492" s="255"/>
      <c r="AC492" s="255"/>
      <c r="AD492" s="255"/>
      <c r="AE492" s="255"/>
      <c r="AF492" s="255"/>
      <c r="AG492" s="255"/>
      <c r="AH492" s="249"/>
      <c r="AI492" s="249"/>
      <c r="AJ492" s="249"/>
      <c r="AK492" s="249"/>
      <c r="AL492" s="249"/>
      <c r="AM492" s="249"/>
      <c r="AN492" s="249"/>
      <c r="AO492" s="249"/>
    </row>
    <row r="493" spans="13:41" x14ac:dyDescent="0.35">
      <c r="M493" s="250">
        <v>4376</v>
      </c>
      <c r="N493" s="251" t="str">
        <f t="shared" si="71"/>
        <v/>
      </c>
      <c r="O493" s="251" t="str">
        <f t="shared" si="72"/>
        <v/>
      </c>
      <c r="P493" s="251" t="str">
        <f t="shared" si="73"/>
        <v/>
      </c>
      <c r="Q493" s="251" t="str">
        <f t="shared" si="74"/>
        <v/>
      </c>
      <c r="R493" s="251" t="str">
        <f t="shared" si="75"/>
        <v/>
      </c>
      <c r="S493" s="252" t="str">
        <f t="shared" si="76"/>
        <v/>
      </c>
      <c r="T493" s="253"/>
      <c r="U493" s="254">
        <v>0.17499999999999999</v>
      </c>
      <c r="V493" s="254">
        <v>0.17399999999999999</v>
      </c>
      <c r="W493" s="254">
        <v>0.17100000000000001</v>
      </c>
      <c r="X493" s="254">
        <v>0.14699999999999999</v>
      </c>
      <c r="Y493" s="254">
        <v>0.14299999999999999</v>
      </c>
      <c r="Z493" s="254">
        <v>0.13900000000000001</v>
      </c>
      <c r="AA493" s="249"/>
      <c r="AB493" s="255"/>
      <c r="AC493" s="255"/>
      <c r="AD493" s="255"/>
      <c r="AE493" s="255"/>
      <c r="AF493" s="255"/>
      <c r="AG493" s="255"/>
      <c r="AH493" s="249"/>
      <c r="AI493" s="249"/>
      <c r="AJ493" s="249"/>
      <c r="AK493" s="249"/>
      <c r="AL493" s="249"/>
      <c r="AM493" s="249"/>
      <c r="AN493" s="249"/>
      <c r="AO493" s="249"/>
    </row>
    <row r="494" spans="13:41" x14ac:dyDescent="0.35">
      <c r="M494" s="250">
        <v>4587</v>
      </c>
      <c r="N494" s="251" t="str">
        <f t="shared" si="71"/>
        <v/>
      </c>
      <c r="O494" s="251" t="str">
        <f t="shared" si="72"/>
        <v/>
      </c>
      <c r="P494" s="251" t="str">
        <f t="shared" si="73"/>
        <v/>
      </c>
      <c r="Q494" s="251" t="str">
        <f t="shared" si="74"/>
        <v/>
      </c>
      <c r="R494" s="251" t="str">
        <f t="shared" si="75"/>
        <v/>
      </c>
      <c r="S494" s="252" t="str">
        <f t="shared" si="76"/>
        <v/>
      </c>
      <c r="T494" s="253"/>
      <c r="U494" s="254">
        <v>0.185</v>
      </c>
      <c r="V494" s="254">
        <v>0.184</v>
      </c>
      <c r="W494" s="254">
        <v>0.18</v>
      </c>
      <c r="X494" s="254">
        <v>0.157</v>
      </c>
      <c r="Y494" s="254">
        <v>0.153</v>
      </c>
      <c r="Z494" s="254">
        <v>0.14899999999999999</v>
      </c>
      <c r="AA494" s="249"/>
      <c r="AB494" s="255"/>
      <c r="AC494" s="255"/>
      <c r="AD494" s="255"/>
      <c r="AE494" s="255"/>
      <c r="AF494" s="255"/>
      <c r="AG494" s="255"/>
      <c r="AH494" s="249"/>
      <c r="AI494" s="249"/>
      <c r="AJ494" s="249"/>
      <c r="AK494" s="249"/>
      <c r="AL494" s="249"/>
      <c r="AM494" s="249"/>
      <c r="AN494" s="249"/>
      <c r="AO494" s="249"/>
    </row>
    <row r="495" spans="13:41" x14ac:dyDescent="0.35">
      <c r="M495" s="250">
        <v>5035</v>
      </c>
      <c r="N495" s="251" t="str">
        <f t="shared" si="71"/>
        <v/>
      </c>
      <c r="O495" s="251" t="str">
        <f t="shared" si="72"/>
        <v/>
      </c>
      <c r="P495" s="251" t="str">
        <f t="shared" si="73"/>
        <v/>
      </c>
      <c r="Q495" s="251" t="str">
        <f t="shared" si="74"/>
        <v/>
      </c>
      <c r="R495" s="251" t="str">
        <f t="shared" si="75"/>
        <v/>
      </c>
      <c r="S495" s="252" t="str">
        <f t="shared" si="76"/>
        <v/>
      </c>
      <c r="T495" s="253"/>
      <c r="U495" s="254">
        <v>0.19500000000000001</v>
      </c>
      <c r="V495" s="254">
        <v>0.19400000000000001</v>
      </c>
      <c r="W495" s="254">
        <v>0.19</v>
      </c>
      <c r="X495" s="254">
        <v>0.16700000000000001</v>
      </c>
      <c r="Y495" s="254">
        <v>0.16300000000000001</v>
      </c>
      <c r="Z495" s="254">
        <v>0.159</v>
      </c>
      <c r="AA495" s="249"/>
      <c r="AB495" s="255"/>
      <c r="AC495" s="255"/>
      <c r="AD495" s="255"/>
      <c r="AE495" s="255"/>
      <c r="AF495" s="255"/>
      <c r="AG495" s="255"/>
      <c r="AH495" s="249"/>
      <c r="AI495" s="249"/>
      <c r="AJ495" s="249"/>
      <c r="AK495" s="249"/>
      <c r="AL495" s="249"/>
      <c r="AM495" s="249"/>
      <c r="AN495" s="249"/>
      <c r="AO495" s="249"/>
    </row>
    <row r="496" spans="13:41" x14ac:dyDescent="0.35">
      <c r="M496" s="250">
        <v>5471</v>
      </c>
      <c r="N496" s="251" t="str">
        <f t="shared" si="71"/>
        <v/>
      </c>
      <c r="O496" s="251" t="str">
        <f t="shared" si="72"/>
        <v/>
      </c>
      <c r="P496" s="251" t="str">
        <f t="shared" si="73"/>
        <v/>
      </c>
      <c r="Q496" s="251" t="str">
        <f t="shared" si="74"/>
        <v/>
      </c>
      <c r="R496" s="251" t="str">
        <f t="shared" si="75"/>
        <v/>
      </c>
      <c r="S496" s="252" t="str">
        <f t="shared" si="76"/>
        <v/>
      </c>
      <c r="T496" s="253"/>
      <c r="U496" s="254">
        <v>0.20499999999999999</v>
      </c>
      <c r="V496" s="254">
        <v>0.20399999999999999</v>
      </c>
      <c r="W496" s="254">
        <v>0.2</v>
      </c>
      <c r="X496" s="254">
        <v>0.17599999999999999</v>
      </c>
      <c r="Y496" s="254">
        <v>0.17199999999999999</v>
      </c>
      <c r="Z496" s="254">
        <v>0.16900000000000001</v>
      </c>
      <c r="AA496" s="249"/>
      <c r="AB496" s="255"/>
      <c r="AC496" s="255"/>
      <c r="AD496" s="255"/>
      <c r="AE496" s="255"/>
      <c r="AF496" s="255"/>
      <c r="AG496" s="255"/>
      <c r="AH496" s="249"/>
      <c r="AI496" s="249"/>
      <c r="AJ496" s="249"/>
      <c r="AK496" s="249"/>
      <c r="AL496" s="249"/>
      <c r="AM496" s="249"/>
      <c r="AN496" s="249"/>
      <c r="AO496" s="249"/>
    </row>
    <row r="497" spans="13:41" x14ac:dyDescent="0.35">
      <c r="M497" s="250">
        <v>5688</v>
      </c>
      <c r="N497" s="251" t="str">
        <f t="shared" si="71"/>
        <v/>
      </c>
      <c r="O497" s="251" t="str">
        <f t="shared" si="72"/>
        <v/>
      </c>
      <c r="P497" s="251" t="str">
        <f t="shared" si="73"/>
        <v/>
      </c>
      <c r="Q497" s="251" t="str">
        <f t="shared" si="74"/>
        <v/>
      </c>
      <c r="R497" s="251" t="str">
        <f t="shared" si="75"/>
        <v/>
      </c>
      <c r="S497" s="252" t="str">
        <f t="shared" si="76"/>
        <v/>
      </c>
      <c r="T497" s="253"/>
      <c r="U497" s="254">
        <v>0.215</v>
      </c>
      <c r="V497" s="254">
        <v>0.214</v>
      </c>
      <c r="W497" s="254">
        <v>0.21</v>
      </c>
      <c r="X497" s="254">
        <v>0.19600000000000001</v>
      </c>
      <c r="Y497" s="254">
        <v>0.182</v>
      </c>
      <c r="Z497" s="254">
        <v>0.17799999999999999</v>
      </c>
      <c r="AA497" s="249"/>
      <c r="AB497" s="255"/>
      <c r="AC497" s="255"/>
      <c r="AD497" s="255"/>
      <c r="AE497" s="255"/>
      <c r="AF497" s="255"/>
      <c r="AG497" s="255"/>
      <c r="AH497" s="249"/>
      <c r="AI497" s="249"/>
      <c r="AJ497" s="249"/>
      <c r="AK497" s="249"/>
      <c r="AL497" s="249"/>
      <c r="AM497" s="249"/>
      <c r="AN497" s="249"/>
      <c r="AO497" s="249"/>
    </row>
    <row r="498" spans="13:41" x14ac:dyDescent="0.35">
      <c r="M498" s="250">
        <v>6135</v>
      </c>
      <c r="N498" s="251" t="str">
        <f t="shared" si="71"/>
        <v/>
      </c>
      <c r="O498" s="251" t="str">
        <f t="shared" si="72"/>
        <v/>
      </c>
      <c r="P498" s="251" t="str">
        <f t="shared" si="73"/>
        <v/>
      </c>
      <c r="Q498" s="251" t="str">
        <f t="shared" si="74"/>
        <v/>
      </c>
      <c r="R498" s="251" t="str">
        <f t="shared" si="75"/>
        <v/>
      </c>
      <c r="S498" s="252" t="str">
        <f t="shared" si="76"/>
        <v/>
      </c>
      <c r="T498" s="253"/>
      <c r="U498" s="254">
        <v>0.224</v>
      </c>
      <c r="V498" s="254">
        <v>0.223</v>
      </c>
      <c r="W498" s="254">
        <v>0.22</v>
      </c>
      <c r="X498" s="254">
        <v>0.20599999999999999</v>
      </c>
      <c r="Y498" s="254">
        <v>0.192</v>
      </c>
      <c r="Z498" s="254">
        <v>0.188</v>
      </c>
      <c r="AA498" s="249"/>
      <c r="AB498" s="255"/>
      <c r="AC498" s="255"/>
      <c r="AD498" s="255"/>
      <c r="AE498" s="255"/>
      <c r="AF498" s="255"/>
      <c r="AG498" s="255"/>
      <c r="AH498" s="249"/>
      <c r="AI498" s="249"/>
      <c r="AJ498" s="249"/>
      <c r="AK498" s="249"/>
      <c r="AL498" s="249"/>
      <c r="AM498" s="249"/>
      <c r="AN498" s="249"/>
      <c r="AO498" s="249"/>
    </row>
    <row r="499" spans="13:41" x14ac:dyDescent="0.35">
      <c r="M499" s="250">
        <v>6458</v>
      </c>
      <c r="N499" s="251" t="str">
        <f t="shared" si="71"/>
        <v/>
      </c>
      <c r="O499" s="251" t="str">
        <f t="shared" si="72"/>
        <v/>
      </c>
      <c r="P499" s="251" t="str">
        <f t="shared" si="73"/>
        <v/>
      </c>
      <c r="Q499" s="251" t="str">
        <f t="shared" si="74"/>
        <v/>
      </c>
      <c r="R499" s="251" t="str">
        <f t="shared" si="75"/>
        <v/>
      </c>
      <c r="S499" s="252" t="str">
        <f t="shared" si="76"/>
        <v/>
      </c>
      <c r="T499" s="253"/>
      <c r="U499" s="254">
        <v>0.23400000000000001</v>
      </c>
      <c r="V499" s="254">
        <v>0.23300000000000001</v>
      </c>
      <c r="W499" s="254">
        <v>0.22900000000000001</v>
      </c>
      <c r="X499" s="254">
        <v>0.216</v>
      </c>
      <c r="Y499" s="254">
        <v>0.20200000000000001</v>
      </c>
      <c r="Z499" s="254">
        <v>0.19800000000000001</v>
      </c>
      <c r="AA499" s="249"/>
      <c r="AB499" s="255"/>
      <c r="AC499" s="255"/>
      <c r="AD499" s="255"/>
      <c r="AE499" s="255"/>
      <c r="AF499" s="255"/>
      <c r="AG499" s="255"/>
      <c r="AH499" s="249"/>
      <c r="AI499" s="249"/>
      <c r="AJ499" s="249"/>
      <c r="AK499" s="249"/>
      <c r="AL499" s="249"/>
      <c r="AM499" s="249"/>
      <c r="AN499" s="249"/>
      <c r="AO499" s="249"/>
    </row>
    <row r="500" spans="13:41" x14ac:dyDescent="0.35">
      <c r="M500" s="250">
        <v>7058</v>
      </c>
      <c r="N500" s="251" t="str">
        <f t="shared" si="71"/>
        <v/>
      </c>
      <c r="O500" s="251" t="str">
        <f t="shared" si="72"/>
        <v/>
      </c>
      <c r="P500" s="251" t="str">
        <f t="shared" si="73"/>
        <v/>
      </c>
      <c r="Q500" s="251" t="str">
        <f t="shared" si="74"/>
        <v/>
      </c>
      <c r="R500" s="251" t="str">
        <f t="shared" si="75"/>
        <v/>
      </c>
      <c r="S500" s="252" t="str">
        <f t="shared" si="76"/>
        <v/>
      </c>
      <c r="T500" s="253"/>
      <c r="U500" s="254">
        <v>0.247</v>
      </c>
      <c r="V500" s="254">
        <v>0.246</v>
      </c>
      <c r="W500" s="254">
        <v>0.245</v>
      </c>
      <c r="X500" s="254">
        <v>0.23100000000000001</v>
      </c>
      <c r="Y500" s="254">
        <v>0.22</v>
      </c>
      <c r="Z500" s="254">
        <v>0.218</v>
      </c>
      <c r="AA500" s="249"/>
      <c r="AB500" s="255"/>
      <c r="AC500" s="255"/>
      <c r="AD500" s="255"/>
      <c r="AE500" s="255"/>
      <c r="AF500" s="255"/>
      <c r="AG500" s="255"/>
      <c r="AH500" s="249"/>
      <c r="AI500" s="249"/>
      <c r="AJ500" s="249"/>
      <c r="AK500" s="249"/>
      <c r="AL500" s="249"/>
      <c r="AM500" s="249"/>
      <c r="AN500" s="249"/>
      <c r="AO500" s="249"/>
    </row>
    <row r="501" spans="13:41" x14ac:dyDescent="0.35">
      <c r="M501" s="250">
        <v>7601</v>
      </c>
      <c r="N501" s="251" t="str">
        <f t="shared" si="71"/>
        <v/>
      </c>
      <c r="O501" s="251" t="str">
        <f t="shared" si="72"/>
        <v/>
      </c>
      <c r="P501" s="251" t="str">
        <f t="shared" si="73"/>
        <v/>
      </c>
      <c r="Q501" s="251" t="str">
        <f t="shared" si="74"/>
        <v/>
      </c>
      <c r="R501" s="251" t="str">
        <f t="shared" si="75"/>
        <v/>
      </c>
      <c r="S501" s="252" t="str">
        <f t="shared" si="76"/>
        <v/>
      </c>
      <c r="T501" s="253"/>
      <c r="U501" s="254">
        <v>0.25700000000000001</v>
      </c>
      <c r="V501" s="254">
        <v>0.25600000000000001</v>
      </c>
      <c r="W501" s="254">
        <v>0.255</v>
      </c>
      <c r="X501" s="254">
        <v>0.24299999999999999</v>
      </c>
      <c r="Y501" s="254">
        <v>0.23899999999999999</v>
      </c>
      <c r="Z501" s="254">
        <v>0.22700000000000001</v>
      </c>
      <c r="AA501" s="249"/>
      <c r="AB501" s="255"/>
      <c r="AC501" s="255"/>
      <c r="AD501" s="255"/>
      <c r="AE501" s="255"/>
      <c r="AF501" s="255"/>
      <c r="AG501" s="255"/>
      <c r="AH501" s="249"/>
      <c r="AI501" s="249"/>
      <c r="AJ501" s="249"/>
      <c r="AK501" s="249"/>
      <c r="AL501" s="249"/>
      <c r="AM501" s="249"/>
      <c r="AN501" s="249"/>
      <c r="AO501" s="249"/>
    </row>
    <row r="502" spans="13:41" x14ac:dyDescent="0.35">
      <c r="M502" s="250">
        <v>8465</v>
      </c>
      <c r="N502" s="251" t="str">
        <f t="shared" si="71"/>
        <v/>
      </c>
      <c r="O502" s="251" t="str">
        <f t="shared" si="72"/>
        <v/>
      </c>
      <c r="P502" s="251" t="str">
        <f t="shared" si="73"/>
        <v/>
      </c>
      <c r="Q502" s="251" t="str">
        <f t="shared" si="74"/>
        <v/>
      </c>
      <c r="R502" s="251" t="str">
        <f t="shared" si="75"/>
        <v/>
      </c>
      <c r="S502" s="252" t="str">
        <f t="shared" si="76"/>
        <v/>
      </c>
      <c r="T502" s="253"/>
      <c r="U502" s="254">
        <v>0.26700000000000002</v>
      </c>
      <c r="V502" s="254">
        <v>0.26600000000000001</v>
      </c>
      <c r="W502" s="254">
        <v>0.26500000000000001</v>
      </c>
      <c r="X502" s="254">
        <v>0.253</v>
      </c>
      <c r="Y502" s="254">
        <v>0.251</v>
      </c>
      <c r="Z502" s="254">
        <v>0.23699999999999999</v>
      </c>
      <c r="AA502" s="249"/>
      <c r="AB502" s="255"/>
      <c r="AC502" s="255"/>
      <c r="AD502" s="255"/>
      <c r="AE502" s="255"/>
      <c r="AF502" s="255"/>
      <c r="AG502" s="255"/>
      <c r="AH502" s="249"/>
      <c r="AI502" s="249"/>
      <c r="AJ502" s="249"/>
      <c r="AK502" s="249"/>
      <c r="AL502" s="249"/>
      <c r="AM502" s="249"/>
      <c r="AN502" s="249"/>
      <c r="AO502" s="249"/>
    </row>
    <row r="503" spans="13:41" x14ac:dyDescent="0.35">
      <c r="M503" s="250">
        <v>9446</v>
      </c>
      <c r="N503" s="251" t="str">
        <f t="shared" si="71"/>
        <v/>
      </c>
      <c r="O503" s="251" t="str">
        <f t="shared" si="72"/>
        <v/>
      </c>
      <c r="P503" s="251" t="str">
        <f t="shared" si="73"/>
        <v/>
      </c>
      <c r="Q503" s="251" t="str">
        <f t="shared" si="74"/>
        <v/>
      </c>
      <c r="R503" s="251" t="str">
        <f t="shared" si="75"/>
        <v/>
      </c>
      <c r="S503" s="252" t="str">
        <f t="shared" si="76"/>
        <v/>
      </c>
      <c r="T503" s="253"/>
      <c r="U503" s="254">
        <v>0.27600000000000002</v>
      </c>
      <c r="V503" s="254">
        <v>0.27500000000000002</v>
      </c>
      <c r="W503" s="254">
        <v>0.27400000000000002</v>
      </c>
      <c r="X503" s="254">
        <v>0.26300000000000001</v>
      </c>
      <c r="Y503" s="254">
        <v>0.26100000000000001</v>
      </c>
      <c r="Z503" s="254">
        <v>0.249</v>
      </c>
      <c r="AA503" s="249"/>
      <c r="AB503" s="255"/>
      <c r="AC503" s="255"/>
      <c r="AD503" s="255"/>
      <c r="AE503" s="255"/>
      <c r="AF503" s="255"/>
      <c r="AG503" s="255"/>
      <c r="AH503" s="249"/>
      <c r="AI503" s="249"/>
      <c r="AJ503" s="249"/>
      <c r="AK503" s="249"/>
      <c r="AL503" s="249"/>
      <c r="AM503" s="249"/>
      <c r="AN503" s="249"/>
      <c r="AO503" s="249"/>
    </row>
    <row r="504" spans="13:41" x14ac:dyDescent="0.35">
      <c r="M504" s="250">
        <v>10532</v>
      </c>
      <c r="N504" s="251" t="str">
        <f t="shared" si="71"/>
        <v/>
      </c>
      <c r="O504" s="251" t="str">
        <f t="shared" si="72"/>
        <v/>
      </c>
      <c r="P504" s="251" t="str">
        <f t="shared" si="73"/>
        <v/>
      </c>
      <c r="Q504" s="251" t="str">
        <f t="shared" si="74"/>
        <v/>
      </c>
      <c r="R504" s="251" t="str">
        <f t="shared" si="75"/>
        <v/>
      </c>
      <c r="S504" s="252" t="str">
        <f t="shared" si="76"/>
        <v/>
      </c>
      <c r="T504" s="253"/>
      <c r="U504" s="254">
        <v>0.29099999999999998</v>
      </c>
      <c r="V504" s="254">
        <v>0.28999999999999998</v>
      </c>
      <c r="W504" s="254">
        <v>0.28899999999999998</v>
      </c>
      <c r="X504" s="254">
        <v>0.27700000000000002</v>
      </c>
      <c r="Y504" s="254">
        <v>0.27500000000000002</v>
      </c>
      <c r="Z504" s="254">
        <v>0.26400000000000001</v>
      </c>
      <c r="AA504" s="249"/>
      <c r="AB504" s="255"/>
      <c r="AC504" s="255"/>
      <c r="AD504" s="255"/>
      <c r="AE504" s="255"/>
      <c r="AF504" s="255"/>
      <c r="AG504" s="255"/>
      <c r="AH504" s="249"/>
      <c r="AI504" s="249"/>
      <c r="AJ504" s="249"/>
      <c r="AK504" s="249"/>
      <c r="AL504" s="249"/>
      <c r="AM504" s="249"/>
      <c r="AN504" s="249"/>
      <c r="AO504" s="249"/>
    </row>
    <row r="505" spans="13:41" x14ac:dyDescent="0.35">
      <c r="M505" s="250">
        <v>11617</v>
      </c>
      <c r="N505" s="251" t="str">
        <f t="shared" si="71"/>
        <v/>
      </c>
      <c r="O505" s="251" t="str">
        <f t="shared" si="72"/>
        <v/>
      </c>
      <c r="P505" s="251" t="str">
        <f t="shared" si="73"/>
        <v/>
      </c>
      <c r="Q505" s="251" t="str">
        <f t="shared" si="74"/>
        <v/>
      </c>
      <c r="R505" s="251" t="str">
        <f t="shared" si="75"/>
        <v/>
      </c>
      <c r="S505" s="252" t="str">
        <f t="shared" si="76"/>
        <v/>
      </c>
      <c r="T505" s="253"/>
      <c r="U505" s="254">
        <v>0.3</v>
      </c>
      <c r="V505" s="254">
        <v>0.29899999999999999</v>
      </c>
      <c r="W505" s="254">
        <v>0.29799999999999999</v>
      </c>
      <c r="X505" s="254">
        <v>0.28699999999999998</v>
      </c>
      <c r="Y505" s="254">
        <v>0.28499999999999998</v>
      </c>
      <c r="Z505" s="254">
        <v>0.27300000000000002</v>
      </c>
      <c r="AA505" s="249"/>
      <c r="AB505" s="255"/>
      <c r="AC505" s="255"/>
      <c r="AD505" s="255"/>
      <c r="AE505" s="255"/>
      <c r="AF505" s="255"/>
      <c r="AG505" s="255"/>
      <c r="AH505" s="249"/>
      <c r="AI505" s="249"/>
      <c r="AJ505" s="249"/>
      <c r="AK505" s="249"/>
      <c r="AL505" s="249"/>
      <c r="AM505" s="249"/>
      <c r="AN505" s="249"/>
      <c r="AO505" s="249"/>
    </row>
    <row r="506" spans="13:41" x14ac:dyDescent="0.35">
      <c r="M506" s="250">
        <v>13389</v>
      </c>
      <c r="N506" s="251" t="str">
        <f t="shared" si="71"/>
        <v/>
      </c>
      <c r="O506" s="251" t="str">
        <f t="shared" si="72"/>
        <v/>
      </c>
      <c r="P506" s="251" t="str">
        <f t="shared" si="73"/>
        <v/>
      </c>
      <c r="Q506" s="251" t="str">
        <f t="shared" si="74"/>
        <v/>
      </c>
      <c r="R506" s="251" t="str">
        <f t="shared" si="75"/>
        <v/>
      </c>
      <c r="S506" s="252" t="str">
        <f t="shared" si="76"/>
        <v/>
      </c>
      <c r="T506" s="253"/>
      <c r="U506" s="254">
        <v>0.315</v>
      </c>
      <c r="V506" s="254">
        <v>0.314</v>
      </c>
      <c r="W506" s="254">
        <v>0.313</v>
      </c>
      <c r="X506" s="254">
        <v>0.30099999999999999</v>
      </c>
      <c r="Y506" s="254">
        <v>0.29899999999999999</v>
      </c>
      <c r="Z506" s="254">
        <v>0.28799999999999998</v>
      </c>
      <c r="AA506" s="249"/>
      <c r="AB506" s="255"/>
      <c r="AC506" s="255"/>
      <c r="AD506" s="255"/>
      <c r="AE506" s="255"/>
      <c r="AF506" s="255"/>
      <c r="AG506" s="255"/>
      <c r="AH506" s="249"/>
      <c r="AI506" s="249"/>
      <c r="AJ506" s="249"/>
      <c r="AK506" s="249"/>
      <c r="AL506" s="249"/>
      <c r="AM506" s="249"/>
      <c r="AN506" s="249"/>
      <c r="AO506" s="249"/>
    </row>
    <row r="507" spans="13:41" x14ac:dyDescent="0.35">
      <c r="M507" s="250">
        <v>13389</v>
      </c>
      <c r="N507" s="251" t="str">
        <f>IF($R$11&gt;=M506+0.01,U507,"")</f>
        <v/>
      </c>
      <c r="O507" s="251" t="str">
        <f>IF($R$11&gt;=M506,V507,"")</f>
        <v/>
      </c>
      <c r="P507" s="251" t="str">
        <f>IF($R$11&gt;=M506,W507,"")</f>
        <v/>
      </c>
      <c r="Q507" s="251" t="str">
        <f>IF($R$11&gt;=M506,X507,"")</f>
        <v/>
      </c>
      <c r="R507" s="252" t="str">
        <f>IF($R$11&gt;=M506,Y507,"")</f>
        <v/>
      </c>
      <c r="S507" s="251" t="str">
        <f>IF($R$11&gt;=M506,Z507,"")</f>
        <v/>
      </c>
      <c r="T507" s="253"/>
      <c r="U507" s="254">
        <v>0.32400000000000001</v>
      </c>
      <c r="V507" s="254">
        <v>0.32300000000000001</v>
      </c>
      <c r="W507" s="254">
        <v>0.32200000000000001</v>
      </c>
      <c r="X507" s="254">
        <v>0.311</v>
      </c>
      <c r="Y507" s="254">
        <v>0.309</v>
      </c>
      <c r="Z507" s="254">
        <v>0.29699999999999999</v>
      </c>
      <c r="AA507" s="249"/>
      <c r="AB507" s="255"/>
      <c r="AC507" s="255"/>
      <c r="AD507" s="255"/>
      <c r="AE507" s="255"/>
      <c r="AF507" s="255"/>
      <c r="AG507" s="255"/>
      <c r="AH507" s="249"/>
      <c r="AI507" s="249"/>
      <c r="AJ507" s="249"/>
      <c r="AK507" s="249"/>
      <c r="AL507" s="249"/>
      <c r="AM507" s="249"/>
      <c r="AN507" s="249"/>
      <c r="AO507" s="249"/>
    </row>
    <row r="508" spans="13:41" x14ac:dyDescent="0.35">
      <c r="M508" s="249"/>
      <c r="N508" s="257" t="str">
        <f>IF($A$15=1,IF($A$2=5,IF($I$2=0,SUM(N479:N507),""),""),"")</f>
        <v/>
      </c>
      <c r="O508" s="258" t="str">
        <f>IF($A$15=1,IF($A$2=5,IF($I$2=1,SUM(O479:O507),""),""),"")</f>
        <v/>
      </c>
      <c r="P508" s="258" t="str">
        <f>IF($A$15=1,IF($A$2=5,IF($I$2=2,SUM(P479:P507),""),""),"")</f>
        <v/>
      </c>
      <c r="Q508" s="258" t="str">
        <f>IF($A$15=1,IF($A$2=5,IF($I$2=3,SUM(Q479:Q507),""),""),"")</f>
        <v/>
      </c>
      <c r="R508" s="258" t="str">
        <f>IF($A$15=1,IF($A$2=5,IF($I$2=4,SUM(R479:R507),""),""),"")</f>
        <v/>
      </c>
      <c r="S508" s="259" t="str">
        <f>IF($A$15=1,IF($A$2=5,IF($I$2=5,SUM(S479:S507),""),""),"")</f>
        <v/>
      </c>
      <c r="T508" s="260">
        <f>SUM(N508:S508)</f>
        <v>0</v>
      </c>
      <c r="U508" s="253"/>
      <c r="V508" s="253"/>
      <c r="W508" s="253"/>
      <c r="X508" s="253"/>
      <c r="Y508" s="253"/>
      <c r="Z508" s="253"/>
      <c r="AA508" s="249"/>
      <c r="AB508" s="255"/>
      <c r="AC508" s="255"/>
      <c r="AD508" s="255"/>
      <c r="AE508" s="255"/>
      <c r="AF508" s="255"/>
      <c r="AG508" s="255"/>
      <c r="AH508" s="249"/>
      <c r="AI508" s="249"/>
      <c r="AJ508" s="249"/>
      <c r="AK508" s="249"/>
      <c r="AL508" s="249"/>
      <c r="AM508" s="249"/>
      <c r="AN508" s="249"/>
      <c r="AO508" s="249"/>
    </row>
    <row r="509" spans="13:41" x14ac:dyDescent="0.35">
      <c r="M509" s="249"/>
      <c r="N509" s="249"/>
      <c r="O509" s="249"/>
      <c r="P509" s="261"/>
      <c r="Q509" s="261"/>
      <c r="R509" s="261"/>
      <c r="S509" s="249"/>
      <c r="T509" s="253"/>
      <c r="U509" s="253"/>
      <c r="V509" s="253"/>
      <c r="W509" s="253"/>
      <c r="X509" s="253"/>
      <c r="Y509" s="253"/>
      <c r="Z509" s="253"/>
      <c r="AA509" s="249"/>
      <c r="AB509" s="249"/>
      <c r="AC509" s="249"/>
      <c r="AD509" s="249"/>
      <c r="AE509" s="249"/>
      <c r="AF509" s="249"/>
      <c r="AG509" s="249"/>
      <c r="AH509" s="249"/>
      <c r="AI509" s="249"/>
      <c r="AJ509" s="249"/>
      <c r="AK509" s="249"/>
      <c r="AL509" s="249"/>
      <c r="AM509" s="249"/>
      <c r="AN509" s="249"/>
      <c r="AO509" s="249"/>
    </row>
    <row r="510" spans="13:41" x14ac:dyDescent="0.35">
      <c r="M510" s="262"/>
      <c r="N510" s="249"/>
      <c r="O510" s="249"/>
      <c r="P510" s="249"/>
      <c r="Q510" s="249"/>
      <c r="R510" s="249"/>
      <c r="S510" s="249"/>
      <c r="T510" s="253"/>
      <c r="U510" s="253"/>
      <c r="V510" s="253"/>
      <c r="W510" s="253"/>
      <c r="X510" s="253"/>
      <c r="Y510" s="253"/>
      <c r="Z510" s="253"/>
      <c r="AA510" s="249"/>
      <c r="AB510" s="249"/>
      <c r="AC510" s="249"/>
      <c r="AD510" s="249"/>
      <c r="AE510" s="249"/>
      <c r="AF510" s="249"/>
      <c r="AG510" s="249"/>
      <c r="AH510" s="249"/>
      <c r="AI510" s="249"/>
      <c r="AJ510" s="249"/>
      <c r="AK510" s="249"/>
      <c r="AL510" s="249"/>
      <c r="AM510" s="249"/>
      <c r="AN510" s="249"/>
      <c r="AO510" s="249"/>
    </row>
    <row r="511" spans="13:41" x14ac:dyDescent="0.35">
      <c r="M511" s="249"/>
      <c r="N511" s="249"/>
      <c r="O511" s="249"/>
      <c r="P511" s="249"/>
      <c r="Q511" s="249"/>
      <c r="R511" s="249"/>
      <c r="S511" s="249"/>
      <c r="T511" s="253"/>
      <c r="U511" s="253"/>
      <c r="V511" s="253"/>
      <c r="W511" s="253"/>
      <c r="X511" s="253"/>
      <c r="Y511" s="253"/>
      <c r="Z511" s="253"/>
      <c r="AA511" s="249"/>
      <c r="AB511" s="249"/>
      <c r="AC511" s="249"/>
      <c r="AD511" s="249"/>
      <c r="AE511" s="249"/>
      <c r="AF511" s="249"/>
      <c r="AG511" s="249"/>
      <c r="AH511" s="249"/>
      <c r="AI511" s="249"/>
      <c r="AJ511" s="249"/>
      <c r="AK511" s="249"/>
      <c r="AL511" s="249"/>
      <c r="AM511" s="249"/>
      <c r="AN511" s="249"/>
      <c r="AO511" s="249"/>
    </row>
    <row r="512" spans="13:41" x14ac:dyDescent="0.35">
      <c r="M512" s="263" t="s">
        <v>254</v>
      </c>
      <c r="N512" s="249"/>
      <c r="O512" s="263" t="s">
        <v>255</v>
      </c>
      <c r="P512" s="264"/>
      <c r="Q512" s="264"/>
      <c r="R512" s="264"/>
      <c r="S512" s="249"/>
      <c r="T512" s="253"/>
      <c r="U512" s="265" t="str">
        <f>O512</f>
        <v>Tabelas de IRS de retenção na fonte referente a 2023 no Continente</v>
      </c>
      <c r="V512" s="253"/>
      <c r="W512" s="253"/>
      <c r="X512" s="253"/>
      <c r="Y512" s="253"/>
      <c r="Z512" s="253"/>
      <c r="AA512" s="249"/>
      <c r="AB512" s="249"/>
      <c r="AC512" s="249"/>
      <c r="AD512" s="249"/>
      <c r="AE512" s="249"/>
      <c r="AF512" s="249"/>
      <c r="AG512" s="249"/>
      <c r="AH512" s="249"/>
      <c r="AI512" s="249"/>
      <c r="AJ512" s="249"/>
      <c r="AK512" s="249"/>
      <c r="AL512" s="249"/>
      <c r="AM512" s="249"/>
      <c r="AN512" s="249"/>
      <c r="AO512" s="249"/>
    </row>
    <row r="513" spans="13:41" x14ac:dyDescent="0.35">
      <c r="M513" s="249"/>
      <c r="N513" s="264"/>
      <c r="O513" s="263" t="s">
        <v>191</v>
      </c>
      <c r="P513" s="249"/>
      <c r="Q513" s="264"/>
      <c r="R513" s="264"/>
      <c r="S513" s="249"/>
      <c r="T513" s="253"/>
      <c r="U513" s="265" t="str">
        <f>O513</f>
        <v>T A B E L A  VI - TRABALHO DEPENDENTE</v>
      </c>
      <c r="V513" s="253"/>
      <c r="W513" s="253"/>
      <c r="X513" s="253"/>
      <c r="Y513" s="253"/>
      <c r="Z513" s="253"/>
      <c r="AA513" s="249"/>
      <c r="AB513" s="249"/>
      <c r="AC513" s="249"/>
      <c r="AD513" s="249"/>
      <c r="AE513" s="249"/>
      <c r="AF513" s="249"/>
      <c r="AG513" s="249"/>
      <c r="AH513" s="249"/>
      <c r="AI513" s="249"/>
      <c r="AJ513" s="249"/>
      <c r="AK513" s="249"/>
      <c r="AL513" s="249"/>
      <c r="AM513" s="249"/>
      <c r="AN513" s="249"/>
      <c r="AO513" s="249"/>
    </row>
    <row r="514" spans="13:41" x14ac:dyDescent="0.35">
      <c r="M514" s="266"/>
      <c r="N514" s="264"/>
      <c r="O514" s="263" t="s">
        <v>192</v>
      </c>
      <c r="P514" s="249"/>
      <c r="Q514" s="264"/>
      <c r="R514" s="264"/>
      <c r="S514" s="249"/>
      <c r="T514" s="253"/>
      <c r="U514" s="265" t="str">
        <f>O514</f>
        <v>CASADO DOIS TITULARES - DEFICIENTE</v>
      </c>
      <c r="V514" s="253"/>
      <c r="W514" s="253"/>
      <c r="X514" s="253"/>
      <c r="Y514" s="253"/>
      <c r="Z514" s="253"/>
      <c r="AA514" s="249"/>
      <c r="AB514" s="249"/>
      <c r="AC514" s="249"/>
      <c r="AD514" s="249"/>
      <c r="AE514" s="249"/>
      <c r="AF514" s="249"/>
      <c r="AG514" s="249"/>
      <c r="AH514" s="249"/>
      <c r="AI514" s="249"/>
      <c r="AJ514" s="249"/>
      <c r="AK514" s="249"/>
      <c r="AL514" s="249"/>
      <c r="AM514" s="249"/>
      <c r="AN514" s="249"/>
      <c r="AO514" s="249"/>
    </row>
    <row r="515" spans="13:41" x14ac:dyDescent="0.35">
      <c r="M515" s="267" t="s">
        <v>154</v>
      </c>
      <c r="N515" s="268" t="s">
        <v>155</v>
      </c>
      <c r="O515" s="268" t="s">
        <v>156</v>
      </c>
      <c r="P515" s="268" t="s">
        <v>157</v>
      </c>
      <c r="Q515" s="268" t="s">
        <v>158</v>
      </c>
      <c r="R515" s="268" t="s">
        <v>159</v>
      </c>
      <c r="S515" s="268" t="s">
        <v>160</v>
      </c>
      <c r="T515" s="253"/>
      <c r="U515" s="269" t="str">
        <f t="shared" ref="U515:Z515" si="77">N515</f>
        <v>0 dep</v>
      </c>
      <c r="V515" s="269" t="str">
        <f t="shared" si="77"/>
        <v>1 dep</v>
      </c>
      <c r="W515" s="269" t="str">
        <f t="shared" si="77"/>
        <v>2 dep</v>
      </c>
      <c r="X515" s="269" t="str">
        <f t="shared" si="77"/>
        <v>3 dep</v>
      </c>
      <c r="Y515" s="269" t="str">
        <f t="shared" si="77"/>
        <v>4 dep</v>
      </c>
      <c r="Z515" s="269" t="str">
        <f t="shared" si="77"/>
        <v>5 dep. ou +</v>
      </c>
      <c r="AA515" s="249"/>
      <c r="AB515" s="249"/>
      <c r="AC515" s="249"/>
      <c r="AD515" s="249"/>
      <c r="AE515" s="249"/>
      <c r="AF515" s="249"/>
      <c r="AG515" s="249"/>
      <c r="AH515" s="249"/>
      <c r="AI515" s="249"/>
      <c r="AJ515" s="249"/>
      <c r="AK515" s="249"/>
      <c r="AL515" s="249"/>
      <c r="AM515" s="249"/>
      <c r="AN515" s="249"/>
      <c r="AO515" s="249"/>
    </row>
    <row r="516" spans="13:41" x14ac:dyDescent="0.35">
      <c r="M516" s="250">
        <v>1348</v>
      </c>
      <c r="N516" s="251" t="str">
        <f>IF($R$11&lt;=M516,IF($R$11&gt;=0,0,""),"")</f>
        <v/>
      </c>
      <c r="O516" s="251" t="str">
        <f>IF($R$11&lt;=M516,IF($R$11&gt;=0,0,""),"")</f>
        <v/>
      </c>
      <c r="P516" s="251" t="str">
        <f>IF($R$11&lt;=M516,IF($R$11&gt;=0,0,""),"")</f>
        <v/>
      </c>
      <c r="Q516" s="251" t="str">
        <f>IF($R$11&lt;=M516,IF($R$11&gt;=0,0,""),"")</f>
        <v/>
      </c>
      <c r="R516" s="251" t="str">
        <f>IF($R$11&lt;=M516,IF($R$11&gt;=0,0,""),"")</f>
        <v/>
      </c>
      <c r="S516" s="251" t="str">
        <f>IF($R$11&lt;=M516,IF($R$11&gt;=0,0,""),"")</f>
        <v/>
      </c>
      <c r="T516" s="253"/>
      <c r="U516" s="254">
        <v>0</v>
      </c>
      <c r="V516" s="254">
        <v>0</v>
      </c>
      <c r="W516" s="254">
        <v>0</v>
      </c>
      <c r="X516" s="254">
        <v>0</v>
      </c>
      <c r="Y516" s="254">
        <v>0</v>
      </c>
      <c r="Z516" s="254">
        <v>0</v>
      </c>
      <c r="AA516" s="249"/>
      <c r="AB516" s="249"/>
      <c r="AC516" s="249"/>
      <c r="AD516" s="249"/>
      <c r="AE516" s="249"/>
      <c r="AF516" s="249"/>
      <c r="AG516" s="249"/>
      <c r="AH516" s="249"/>
      <c r="AI516" s="249"/>
      <c r="AJ516" s="249"/>
      <c r="AK516" s="249"/>
      <c r="AL516" s="249"/>
      <c r="AM516" s="249"/>
      <c r="AN516" s="249"/>
      <c r="AO516" s="249"/>
    </row>
    <row r="517" spans="13:41" x14ac:dyDescent="0.35">
      <c r="M517" s="250">
        <v>1456</v>
      </c>
      <c r="N517" s="251" t="str">
        <f>IF($R$11&lt;=M517,IF($R$11&gt;=M516+0.01,U517,""),"")</f>
        <v/>
      </c>
      <c r="O517" s="251" t="str">
        <f>IF($R$11&lt;=M517,IF($R$11&gt;=M516+0.01,V517,""),"")</f>
        <v/>
      </c>
      <c r="P517" s="251" t="str">
        <f>IF($R$11&lt;=M517,IF($R$11&gt;=M516+0.01,W517,""),"")</f>
        <v/>
      </c>
      <c r="Q517" s="251" t="str">
        <f>IF($R$11&lt;=M517,IF($R$11&gt;=M516+0.01,X517,""),"")</f>
        <v/>
      </c>
      <c r="R517" s="251" t="str">
        <f>IF($R$11&lt;=M517,IF($R$11&gt;=M516+0.01,Y517,""),"")</f>
        <v/>
      </c>
      <c r="S517" s="252" t="str">
        <f>IF($R$11&lt;=M517,IF($R$11&gt;=M516+0.01,Z517,""),"")</f>
        <v/>
      </c>
      <c r="T517" s="253"/>
      <c r="U517" s="254">
        <v>1.2E-2</v>
      </c>
      <c r="V517" s="254">
        <v>0</v>
      </c>
      <c r="W517" s="254">
        <v>0</v>
      </c>
      <c r="X517" s="254">
        <v>0</v>
      </c>
      <c r="Y517" s="254">
        <v>0</v>
      </c>
      <c r="Z517" s="254">
        <v>0</v>
      </c>
      <c r="AA517" s="249"/>
      <c r="AB517" s="255"/>
      <c r="AC517" s="255"/>
      <c r="AD517" s="255"/>
      <c r="AE517" s="255"/>
      <c r="AF517" s="255"/>
      <c r="AG517" s="255"/>
      <c r="AH517" s="249"/>
      <c r="AI517" s="249"/>
      <c r="AJ517" s="249"/>
      <c r="AK517" s="249"/>
      <c r="AL517" s="249"/>
      <c r="AM517" s="249"/>
      <c r="AN517" s="249"/>
      <c r="AO517" s="249"/>
    </row>
    <row r="518" spans="13:41" x14ac:dyDescent="0.35">
      <c r="M518" s="250">
        <v>1498</v>
      </c>
      <c r="N518" s="251" t="str">
        <f>IF($R$11&lt;=M518,IF($R$11&gt;=M517+0.01,U518,""),"")</f>
        <v/>
      </c>
      <c r="O518" s="251" t="str">
        <f>IF($R$11&lt;=M518,IF($R$11&gt;=M517+0.01,V518,""),"")</f>
        <v/>
      </c>
      <c r="P518" s="251" t="str">
        <f>IF($R$11&lt;=M518,IF($R$11&gt;=M517+0.01,W518,""),"")</f>
        <v/>
      </c>
      <c r="Q518" s="251" t="str">
        <f>IF($R$11&lt;=M518,IF($R$11&gt;=M517+0.01,X518,""),"")</f>
        <v/>
      </c>
      <c r="R518" s="251" t="str">
        <f>IF($R$11&lt;=M518,IF($R$11&gt;=M517+0.01,Y518,""),"")</f>
        <v/>
      </c>
      <c r="S518" s="252" t="str">
        <f>IF($R$11&lt;=M518,IF($R$11&gt;=M517+0.01,Z518,""),"")</f>
        <v/>
      </c>
      <c r="T518" s="253"/>
      <c r="U518" s="254">
        <v>3.5999999999999997E-2</v>
      </c>
      <c r="V518" s="254">
        <v>2.8000000000000001E-2</v>
      </c>
      <c r="W518" s="254">
        <v>0</v>
      </c>
      <c r="X518" s="254">
        <v>0</v>
      </c>
      <c r="Y518" s="254">
        <v>0</v>
      </c>
      <c r="Z518" s="254">
        <v>0</v>
      </c>
      <c r="AA518" s="249"/>
      <c r="AB518" s="255"/>
      <c r="AC518" s="255"/>
      <c r="AD518" s="255"/>
      <c r="AE518" s="255"/>
      <c r="AF518" s="255"/>
      <c r="AG518" s="255"/>
      <c r="AH518" s="249"/>
      <c r="AI518" s="249"/>
      <c r="AJ518" s="249"/>
      <c r="AK518" s="249"/>
      <c r="AL518" s="249"/>
      <c r="AM518" s="249"/>
      <c r="AN518" s="249"/>
      <c r="AO518" s="249"/>
    </row>
    <row r="519" spans="13:41" x14ac:dyDescent="0.35">
      <c r="M519" s="250">
        <v>1687</v>
      </c>
      <c r="N519" s="251">
        <f>IF($R$11&lt;=M519,IF($R$11&gt;=M518+0.01,U519,""),"")</f>
        <v>4.5999999999999999E-2</v>
      </c>
      <c r="O519" s="251">
        <f>IF($R$11&lt;=M519,IF($R$11&gt;=M518+0.01,V519,""),"")</f>
        <v>3.7999999999999999E-2</v>
      </c>
      <c r="P519" s="251">
        <f>IF($R$11&lt;=M519,IF($R$11&gt;=M518+0.01,W519,""),"")</f>
        <v>1.9E-2</v>
      </c>
      <c r="Q519" s="251">
        <f>IF($R$11&lt;=M519,IF($R$11&gt;=M518+0.01,X519,""),"")</f>
        <v>0</v>
      </c>
      <c r="R519" s="251">
        <f>IF($R$11&lt;=M519,IF($R$11&gt;=M518+0.01,Y519,""),"")</f>
        <v>0</v>
      </c>
      <c r="S519" s="252">
        <f>IF($R$11&lt;=M519,IF($R$11&gt;=M518+0.01,Z519,""),"")</f>
        <v>0</v>
      </c>
      <c r="T519" s="253"/>
      <c r="U519" s="254">
        <v>4.5999999999999999E-2</v>
      </c>
      <c r="V519" s="254">
        <v>3.7999999999999999E-2</v>
      </c>
      <c r="W519" s="254">
        <v>1.9E-2</v>
      </c>
      <c r="X519" s="254">
        <v>0</v>
      </c>
      <c r="Y519" s="254">
        <v>0</v>
      </c>
      <c r="Z519" s="254">
        <v>0</v>
      </c>
      <c r="AA519" s="249"/>
      <c r="AB519" s="255"/>
      <c r="AC519" s="255"/>
      <c r="AD519" s="255"/>
      <c r="AE519" s="255"/>
      <c r="AF519" s="255"/>
      <c r="AG519" s="255"/>
      <c r="AH519" s="249"/>
      <c r="AI519" s="249"/>
      <c r="AJ519" s="249"/>
      <c r="AK519" s="249"/>
      <c r="AL519" s="249"/>
      <c r="AM519" s="249"/>
      <c r="AN519" s="249"/>
      <c r="AO519" s="249"/>
    </row>
    <row r="520" spans="13:41" x14ac:dyDescent="0.35">
      <c r="M520" s="250">
        <v>2013</v>
      </c>
      <c r="N520" s="251" t="str">
        <f t="shared" ref="N520:N544" si="78">IF($R$11&lt;=M520,IF($R$11&gt;=M519+0.01,U520,""),"")</f>
        <v/>
      </c>
      <c r="O520" s="251" t="str">
        <f t="shared" ref="O520:O544" si="79">IF($R$11&lt;=M520,IF($R$11&gt;=M519+0.01,V520,""),"")</f>
        <v/>
      </c>
      <c r="P520" s="251" t="str">
        <f t="shared" ref="P520:P544" si="80">IF($R$11&lt;=M520,IF($R$11&gt;=M519+0.01,W520,""),"")</f>
        <v/>
      </c>
      <c r="Q520" s="251" t="str">
        <f t="shared" ref="Q520:Q544" si="81">IF($R$11&lt;=M520,IF($R$11&gt;=M519+0.01,X520,""),"")</f>
        <v/>
      </c>
      <c r="R520" s="251" t="str">
        <f t="shared" ref="R520:R544" si="82">IF($R$11&lt;=M520,IF($R$11&gt;=M519+0.01,Y520,""),"")</f>
        <v/>
      </c>
      <c r="S520" s="252" t="str">
        <f t="shared" ref="S520:S544" si="83">IF($R$11&lt;=M520,IF($R$11&gt;=M519+0.01,Z520,""),"")</f>
        <v/>
      </c>
      <c r="T520" s="253"/>
      <c r="U520" s="254">
        <v>6.6000000000000003E-2</v>
      </c>
      <c r="V520" s="254">
        <v>5.8000000000000003E-2</v>
      </c>
      <c r="W520" s="254">
        <v>4.1000000000000002E-2</v>
      </c>
      <c r="X520" s="254">
        <v>2.3E-2</v>
      </c>
      <c r="Y520" s="254">
        <v>1.4999999999999999E-2</v>
      </c>
      <c r="Z520" s="254">
        <v>0</v>
      </c>
      <c r="AA520" s="249"/>
      <c r="AB520" s="255"/>
      <c r="AC520" s="255"/>
      <c r="AD520" s="255"/>
      <c r="AE520" s="255"/>
      <c r="AF520" s="255"/>
      <c r="AG520" s="255"/>
      <c r="AH520" s="249"/>
      <c r="AI520" s="249"/>
      <c r="AJ520" s="249"/>
      <c r="AK520" s="249"/>
      <c r="AL520" s="249"/>
      <c r="AM520" s="249"/>
      <c r="AN520" s="249"/>
      <c r="AO520" s="249"/>
    </row>
    <row r="521" spans="13:41" x14ac:dyDescent="0.35">
      <c r="M521" s="250">
        <v>2140</v>
      </c>
      <c r="N521" s="251" t="str">
        <f t="shared" si="78"/>
        <v/>
      </c>
      <c r="O521" s="251" t="str">
        <f t="shared" si="79"/>
        <v/>
      </c>
      <c r="P521" s="251" t="str">
        <f t="shared" si="80"/>
        <v/>
      </c>
      <c r="Q521" s="251" t="str">
        <f t="shared" si="81"/>
        <v/>
      </c>
      <c r="R521" s="251" t="str">
        <f t="shared" si="82"/>
        <v/>
      </c>
      <c r="S521" s="252" t="str">
        <f t="shared" si="83"/>
        <v/>
      </c>
      <c r="T521" s="253"/>
      <c r="U521" s="254">
        <v>0.08</v>
      </c>
      <c r="V521" s="254">
        <v>7.3999999999999996E-2</v>
      </c>
      <c r="W521" s="254">
        <v>5.5E-2</v>
      </c>
      <c r="X521" s="254">
        <v>3.7999999999999999E-2</v>
      </c>
      <c r="Y521" s="254">
        <v>0.03</v>
      </c>
      <c r="Z521" s="254">
        <v>2.1999999999999999E-2</v>
      </c>
      <c r="AA521" s="249"/>
      <c r="AB521" s="255"/>
      <c r="AC521" s="255"/>
      <c r="AD521" s="255"/>
      <c r="AE521" s="255"/>
      <c r="AF521" s="255"/>
      <c r="AG521" s="255"/>
      <c r="AH521" s="249"/>
      <c r="AI521" s="249"/>
      <c r="AJ521" s="249"/>
      <c r="AK521" s="249"/>
      <c r="AL521" s="249"/>
      <c r="AM521" s="249"/>
      <c r="AN521" s="249"/>
      <c r="AO521" s="249"/>
    </row>
    <row r="522" spans="13:41" x14ac:dyDescent="0.35">
      <c r="M522" s="250">
        <v>2278</v>
      </c>
      <c r="N522" s="251" t="str">
        <f t="shared" si="78"/>
        <v/>
      </c>
      <c r="O522" s="251" t="str">
        <f t="shared" si="79"/>
        <v/>
      </c>
      <c r="P522" s="251" t="str">
        <f t="shared" si="80"/>
        <v/>
      </c>
      <c r="Q522" s="251" t="str">
        <f t="shared" si="81"/>
        <v/>
      </c>
      <c r="R522" s="251" t="str">
        <f t="shared" si="82"/>
        <v/>
      </c>
      <c r="S522" s="252" t="str">
        <f t="shared" si="83"/>
        <v/>
      </c>
      <c r="T522" s="253"/>
      <c r="U522" s="254">
        <v>9.9000000000000005E-2</v>
      </c>
      <c r="V522" s="254">
        <v>8.3000000000000004E-2</v>
      </c>
      <c r="W522" s="254">
        <v>7.4999999999999997E-2</v>
      </c>
      <c r="X522" s="254">
        <v>5.7000000000000002E-2</v>
      </c>
      <c r="Y522" s="254">
        <v>0.04</v>
      </c>
      <c r="Z522" s="254">
        <v>3.2000000000000001E-2</v>
      </c>
      <c r="AA522" s="249"/>
      <c r="AB522" s="255"/>
      <c r="AC522" s="255"/>
      <c r="AD522" s="255"/>
      <c r="AE522" s="255"/>
      <c r="AF522" s="255"/>
      <c r="AG522" s="255"/>
      <c r="AH522" s="249"/>
      <c r="AI522" s="249"/>
      <c r="AJ522" s="249"/>
      <c r="AK522" s="249"/>
      <c r="AL522" s="249"/>
      <c r="AM522" s="249"/>
      <c r="AN522" s="249"/>
      <c r="AO522" s="249"/>
    </row>
    <row r="523" spans="13:41" x14ac:dyDescent="0.35">
      <c r="M523" s="250">
        <v>2382</v>
      </c>
      <c r="N523" s="251" t="str">
        <f t="shared" si="78"/>
        <v/>
      </c>
      <c r="O523" s="251" t="str">
        <f t="shared" si="79"/>
        <v/>
      </c>
      <c r="P523" s="251" t="str">
        <f t="shared" si="80"/>
        <v/>
      </c>
      <c r="Q523" s="251" t="str">
        <f t="shared" si="81"/>
        <v/>
      </c>
      <c r="R523" s="251" t="str">
        <f t="shared" si="82"/>
        <v/>
      </c>
      <c r="S523" s="252" t="str">
        <f t="shared" si="83"/>
        <v/>
      </c>
      <c r="T523" s="253"/>
      <c r="U523" s="254">
        <v>0.123</v>
      </c>
      <c r="V523" s="254">
        <v>0.107</v>
      </c>
      <c r="W523" s="254">
        <v>0.09</v>
      </c>
      <c r="X523" s="254">
        <v>7.2999999999999995E-2</v>
      </c>
      <c r="Y523" s="254">
        <v>6.4000000000000001E-2</v>
      </c>
      <c r="Z523" s="254">
        <v>5.6000000000000001E-2</v>
      </c>
      <c r="AA523" s="249"/>
      <c r="AB523" s="255"/>
      <c r="AC523" s="255"/>
      <c r="AD523" s="255"/>
      <c r="AE523" s="255"/>
      <c r="AF523" s="255"/>
      <c r="AG523" s="255"/>
      <c r="AH523" s="249"/>
      <c r="AI523" s="249"/>
      <c r="AJ523" s="249"/>
      <c r="AK523" s="249"/>
      <c r="AL523" s="249"/>
      <c r="AM523" s="249"/>
      <c r="AN523" s="249"/>
      <c r="AO523" s="249"/>
    </row>
    <row r="524" spans="13:41" x14ac:dyDescent="0.35">
      <c r="M524" s="250">
        <v>2552</v>
      </c>
      <c r="N524" s="251" t="str">
        <f t="shared" si="78"/>
        <v/>
      </c>
      <c r="O524" s="251" t="str">
        <f t="shared" si="79"/>
        <v/>
      </c>
      <c r="P524" s="251" t="str">
        <f t="shared" si="80"/>
        <v/>
      </c>
      <c r="Q524" s="251" t="str">
        <f t="shared" si="81"/>
        <v/>
      </c>
      <c r="R524" s="251" t="str">
        <f t="shared" si="82"/>
        <v/>
      </c>
      <c r="S524" s="252" t="str">
        <f t="shared" si="83"/>
        <v/>
      </c>
      <c r="T524" s="253"/>
      <c r="U524" s="254">
        <v>0.14299999999999999</v>
      </c>
      <c r="V524" s="254">
        <v>0.126</v>
      </c>
      <c r="W524" s="254">
        <v>0.109</v>
      </c>
      <c r="X524" s="254">
        <v>9.1999999999999998E-2</v>
      </c>
      <c r="Y524" s="254">
        <v>7.3999999999999996E-2</v>
      </c>
      <c r="Z524" s="254">
        <v>6.6000000000000003E-2</v>
      </c>
      <c r="AA524" s="249"/>
      <c r="AB524" s="255"/>
      <c r="AC524" s="255"/>
      <c r="AD524" s="255"/>
      <c r="AE524" s="255"/>
      <c r="AF524" s="255"/>
      <c r="AG524" s="255"/>
      <c r="AH524" s="249"/>
      <c r="AI524" s="249"/>
      <c r="AJ524" s="249"/>
      <c r="AK524" s="249"/>
      <c r="AL524" s="249"/>
      <c r="AM524" s="249"/>
      <c r="AN524" s="249"/>
      <c r="AO524" s="249"/>
    </row>
    <row r="525" spans="13:41" x14ac:dyDescent="0.35">
      <c r="M525" s="250">
        <v>2637</v>
      </c>
      <c r="N525" s="251" t="str">
        <f t="shared" si="78"/>
        <v/>
      </c>
      <c r="O525" s="251" t="str">
        <f t="shared" si="79"/>
        <v/>
      </c>
      <c r="P525" s="251" t="str">
        <f t="shared" si="80"/>
        <v/>
      </c>
      <c r="Q525" s="251" t="str">
        <f t="shared" si="81"/>
        <v/>
      </c>
      <c r="R525" s="251" t="str">
        <f t="shared" si="82"/>
        <v/>
      </c>
      <c r="S525" s="252" t="str">
        <f t="shared" si="83"/>
        <v/>
      </c>
      <c r="T525" s="253"/>
      <c r="U525" s="254">
        <v>0.152</v>
      </c>
      <c r="V525" s="254">
        <v>0.13600000000000001</v>
      </c>
      <c r="W525" s="254">
        <v>0.128</v>
      </c>
      <c r="X525" s="254">
        <v>0.111</v>
      </c>
      <c r="Y525" s="254">
        <v>9.4E-2</v>
      </c>
      <c r="Z525" s="254">
        <v>8.5999999999999993E-2</v>
      </c>
      <c r="AA525" s="249"/>
      <c r="AB525" s="255"/>
      <c r="AC525" s="255"/>
      <c r="AD525" s="255"/>
      <c r="AE525" s="255"/>
      <c r="AF525" s="255"/>
      <c r="AG525" s="255"/>
      <c r="AH525" s="249"/>
      <c r="AI525" s="249"/>
      <c r="AJ525" s="249"/>
      <c r="AK525" s="249"/>
      <c r="AL525" s="249"/>
      <c r="AM525" s="249"/>
      <c r="AN525" s="249"/>
      <c r="AO525" s="249"/>
    </row>
    <row r="526" spans="13:41" x14ac:dyDescent="0.35">
      <c r="M526" s="250">
        <v>2741</v>
      </c>
      <c r="N526" s="251" t="str">
        <f t="shared" si="78"/>
        <v/>
      </c>
      <c r="O526" s="251" t="str">
        <f t="shared" si="79"/>
        <v/>
      </c>
      <c r="P526" s="251" t="str">
        <f t="shared" si="80"/>
        <v/>
      </c>
      <c r="Q526" s="251" t="str">
        <f t="shared" si="81"/>
        <v/>
      </c>
      <c r="R526" s="251" t="str">
        <f t="shared" si="82"/>
        <v/>
      </c>
      <c r="S526" s="252" t="str">
        <f t="shared" si="83"/>
        <v/>
      </c>
      <c r="T526" s="253"/>
      <c r="U526" s="254">
        <v>0.16300000000000001</v>
      </c>
      <c r="V526" s="254">
        <v>0.14599999999999999</v>
      </c>
      <c r="W526" s="254">
        <v>0.13800000000000001</v>
      </c>
      <c r="X526" s="254">
        <v>0.121</v>
      </c>
      <c r="Y526" s="254">
        <v>0.104</v>
      </c>
      <c r="Z526" s="254">
        <v>9.6000000000000002E-2</v>
      </c>
      <c r="AA526" s="249"/>
      <c r="AB526" s="255"/>
      <c r="AC526" s="255"/>
      <c r="AD526" s="255"/>
      <c r="AE526" s="255"/>
      <c r="AF526" s="255"/>
      <c r="AG526" s="255"/>
      <c r="AH526" s="249"/>
      <c r="AI526" s="249"/>
      <c r="AJ526" s="249"/>
      <c r="AK526" s="249"/>
      <c r="AL526" s="249"/>
      <c r="AM526" s="249"/>
      <c r="AN526" s="249"/>
      <c r="AO526" s="249"/>
    </row>
    <row r="527" spans="13:41" x14ac:dyDescent="0.35">
      <c r="M527" s="250">
        <v>3015</v>
      </c>
      <c r="N527" s="251" t="str">
        <f t="shared" si="78"/>
        <v/>
      </c>
      <c r="O527" s="251" t="str">
        <f t="shared" si="79"/>
        <v/>
      </c>
      <c r="P527" s="251" t="str">
        <f t="shared" si="80"/>
        <v/>
      </c>
      <c r="Q527" s="251" t="str">
        <f t="shared" si="81"/>
        <v/>
      </c>
      <c r="R527" s="251" t="str">
        <f t="shared" si="82"/>
        <v/>
      </c>
      <c r="S527" s="252" t="str">
        <f t="shared" si="83"/>
        <v/>
      </c>
      <c r="T527" s="253"/>
      <c r="U527" s="254">
        <v>0.17199999999999999</v>
      </c>
      <c r="V527" s="254">
        <v>0.156</v>
      </c>
      <c r="W527" s="254">
        <v>0.14799999999999999</v>
      </c>
      <c r="X527" s="254">
        <v>0.13100000000000001</v>
      </c>
      <c r="Y527" s="254">
        <v>0.114</v>
      </c>
      <c r="Z527" s="254">
        <v>0.106</v>
      </c>
      <c r="AA527" s="249"/>
      <c r="AB527" s="255"/>
      <c r="AC527" s="255"/>
      <c r="AD527" s="255"/>
      <c r="AE527" s="255"/>
      <c r="AF527" s="255"/>
      <c r="AG527" s="255"/>
      <c r="AH527" s="249"/>
      <c r="AI527" s="249"/>
      <c r="AJ527" s="249"/>
      <c r="AK527" s="249"/>
      <c r="AL527" s="249"/>
      <c r="AM527" s="249"/>
      <c r="AN527" s="249"/>
      <c r="AO527" s="249"/>
    </row>
    <row r="528" spans="13:41" x14ac:dyDescent="0.35">
      <c r="M528" s="250">
        <v>3343</v>
      </c>
      <c r="N528" s="251" t="str">
        <f t="shared" si="78"/>
        <v/>
      </c>
      <c r="O528" s="251" t="str">
        <f t="shared" si="79"/>
        <v/>
      </c>
      <c r="P528" s="251" t="str">
        <f t="shared" si="80"/>
        <v/>
      </c>
      <c r="Q528" s="251" t="str">
        <f t="shared" si="81"/>
        <v/>
      </c>
      <c r="R528" s="251" t="str">
        <f t="shared" si="82"/>
        <v/>
      </c>
      <c r="S528" s="252" t="str">
        <f t="shared" si="83"/>
        <v/>
      </c>
      <c r="T528" s="253"/>
      <c r="U528" s="254">
        <v>0.183</v>
      </c>
      <c r="V528" s="254">
        <v>0.17100000000000001</v>
      </c>
      <c r="W528" s="254">
        <v>0.16700000000000001</v>
      </c>
      <c r="X528" s="254">
        <v>0.153</v>
      </c>
      <c r="Y528" s="254">
        <v>0.14000000000000001</v>
      </c>
      <c r="Z528" s="254">
        <v>0.13600000000000001</v>
      </c>
      <c r="AA528" s="249"/>
      <c r="AB528" s="255"/>
      <c r="AC528" s="255"/>
      <c r="AD528" s="255"/>
      <c r="AE528" s="255"/>
      <c r="AF528" s="255"/>
      <c r="AG528" s="255"/>
      <c r="AH528" s="249"/>
      <c r="AI528" s="249"/>
      <c r="AJ528" s="249"/>
      <c r="AK528" s="249"/>
      <c r="AL528" s="249"/>
      <c r="AM528" s="249"/>
      <c r="AN528" s="249"/>
      <c r="AO528" s="249"/>
    </row>
    <row r="529" spans="13:41" x14ac:dyDescent="0.35">
      <c r="M529" s="250">
        <v>3690</v>
      </c>
      <c r="N529" s="251" t="str">
        <f t="shared" si="78"/>
        <v/>
      </c>
      <c r="O529" s="251" t="str">
        <f t="shared" si="79"/>
        <v/>
      </c>
      <c r="P529" s="251" t="str">
        <f t="shared" si="80"/>
        <v/>
      </c>
      <c r="Q529" s="251" t="str">
        <f t="shared" si="81"/>
        <v/>
      </c>
      <c r="R529" s="251" t="str">
        <f t="shared" si="82"/>
        <v/>
      </c>
      <c r="S529" s="252" t="str">
        <f t="shared" si="83"/>
        <v/>
      </c>
      <c r="T529" s="253"/>
      <c r="U529" s="254">
        <v>0.19500000000000001</v>
      </c>
      <c r="V529" s="254">
        <v>0.182</v>
      </c>
      <c r="W529" s="254">
        <v>0.17799999999999999</v>
      </c>
      <c r="X529" s="254">
        <v>0.16500000000000001</v>
      </c>
      <c r="Y529" s="254">
        <v>0.151</v>
      </c>
      <c r="Z529" s="254">
        <v>0.14699999999999999</v>
      </c>
      <c r="AA529" s="249"/>
      <c r="AB529" s="255"/>
      <c r="AC529" s="255"/>
      <c r="AD529" s="255"/>
      <c r="AE529" s="255"/>
      <c r="AF529" s="255"/>
      <c r="AG529" s="255"/>
      <c r="AH529" s="249"/>
      <c r="AI529" s="249"/>
      <c r="AJ529" s="249"/>
      <c r="AK529" s="249"/>
      <c r="AL529" s="249"/>
      <c r="AM529" s="249"/>
      <c r="AN529" s="249"/>
      <c r="AO529" s="249"/>
    </row>
    <row r="530" spans="13:41" x14ac:dyDescent="0.35">
      <c r="M530" s="250">
        <v>3827</v>
      </c>
      <c r="N530" s="251" t="str">
        <f t="shared" si="78"/>
        <v/>
      </c>
      <c r="O530" s="251" t="str">
        <f t="shared" si="79"/>
        <v/>
      </c>
      <c r="P530" s="251" t="str">
        <f t="shared" si="80"/>
        <v/>
      </c>
      <c r="Q530" s="251" t="str">
        <f t="shared" si="81"/>
        <v/>
      </c>
      <c r="R530" s="251" t="str">
        <f t="shared" si="82"/>
        <v/>
      </c>
      <c r="S530" s="252" t="str">
        <f t="shared" si="83"/>
        <v/>
      </c>
      <c r="T530" s="253"/>
      <c r="U530" s="254">
        <v>0.20499999999999999</v>
      </c>
      <c r="V530" s="254">
        <v>0.19400000000000001</v>
      </c>
      <c r="W530" s="254">
        <v>0.188</v>
      </c>
      <c r="X530" s="254">
        <v>0.17399999999999999</v>
      </c>
      <c r="Y530" s="254">
        <v>0.17100000000000001</v>
      </c>
      <c r="Z530" s="254">
        <v>0.157</v>
      </c>
      <c r="AA530" s="249"/>
      <c r="AB530" s="255"/>
      <c r="AC530" s="255"/>
      <c r="AD530" s="255"/>
      <c r="AE530" s="255"/>
      <c r="AF530" s="255"/>
      <c r="AG530" s="255"/>
      <c r="AH530" s="249"/>
      <c r="AI530" s="249"/>
      <c r="AJ530" s="249"/>
      <c r="AK530" s="249"/>
      <c r="AL530" s="249"/>
      <c r="AM530" s="249"/>
      <c r="AN530" s="249"/>
      <c r="AO530" s="249"/>
    </row>
    <row r="531" spans="13:41" x14ac:dyDescent="0.35">
      <c r="M531" s="250">
        <v>4048</v>
      </c>
      <c r="N531" s="251" t="str">
        <f t="shared" si="78"/>
        <v/>
      </c>
      <c r="O531" s="251" t="str">
        <f t="shared" si="79"/>
        <v/>
      </c>
      <c r="P531" s="251" t="str">
        <f t="shared" si="80"/>
        <v/>
      </c>
      <c r="Q531" s="251" t="str">
        <f t="shared" si="81"/>
        <v/>
      </c>
      <c r="R531" s="251" t="str">
        <f t="shared" si="82"/>
        <v/>
      </c>
      <c r="S531" s="252" t="str">
        <f t="shared" si="83"/>
        <v/>
      </c>
      <c r="T531" s="253"/>
      <c r="U531" s="254">
        <v>0.215</v>
      </c>
      <c r="V531" s="254">
        <v>0.20399999999999999</v>
      </c>
      <c r="W531" s="254">
        <v>0.2</v>
      </c>
      <c r="X531" s="254">
        <v>0.184</v>
      </c>
      <c r="Y531" s="254">
        <v>0.18</v>
      </c>
      <c r="Z531" s="254">
        <v>0.16700000000000001</v>
      </c>
      <c r="AA531" s="249"/>
      <c r="AB531" s="255"/>
      <c r="AC531" s="255"/>
      <c r="AD531" s="255"/>
      <c r="AE531" s="255"/>
      <c r="AF531" s="255"/>
      <c r="AG531" s="255"/>
      <c r="AH531" s="249"/>
      <c r="AI531" s="249"/>
      <c r="AJ531" s="249"/>
      <c r="AK531" s="249"/>
      <c r="AL531" s="249"/>
      <c r="AM531" s="249"/>
      <c r="AN531" s="249"/>
      <c r="AO531" s="249"/>
    </row>
    <row r="532" spans="13:41" x14ac:dyDescent="0.35">
      <c r="M532" s="250">
        <v>4481</v>
      </c>
      <c r="N532" s="251" t="str">
        <f t="shared" si="78"/>
        <v/>
      </c>
      <c r="O532" s="251" t="str">
        <f t="shared" si="79"/>
        <v/>
      </c>
      <c r="P532" s="251" t="str">
        <f t="shared" si="80"/>
        <v/>
      </c>
      <c r="Q532" s="251" t="str">
        <f t="shared" si="81"/>
        <v/>
      </c>
      <c r="R532" s="251" t="str">
        <f t="shared" si="82"/>
        <v/>
      </c>
      <c r="S532" s="252" t="str">
        <f t="shared" si="83"/>
        <v/>
      </c>
      <c r="T532" s="253"/>
      <c r="U532" s="254">
        <v>0.22900000000000001</v>
      </c>
      <c r="V532" s="254">
        <v>0.219</v>
      </c>
      <c r="W532" s="254">
        <v>0.215</v>
      </c>
      <c r="X532" s="254">
        <v>0.20100000000000001</v>
      </c>
      <c r="Y532" s="254">
        <v>0.19500000000000001</v>
      </c>
      <c r="Z532" s="254">
        <v>0.18099999999999999</v>
      </c>
      <c r="AA532" s="249"/>
      <c r="AB532" s="255"/>
      <c r="AC532" s="255"/>
      <c r="AD532" s="255"/>
      <c r="AE532" s="255"/>
      <c r="AF532" s="255"/>
      <c r="AG532" s="255"/>
      <c r="AH532" s="249"/>
      <c r="AI532" s="249"/>
      <c r="AJ532" s="249"/>
      <c r="AK532" s="249"/>
      <c r="AL532" s="249"/>
      <c r="AM532" s="249"/>
      <c r="AN532" s="249"/>
      <c r="AO532" s="249"/>
    </row>
    <row r="533" spans="13:41" x14ac:dyDescent="0.35">
      <c r="M533" s="250">
        <v>4755</v>
      </c>
      <c r="N533" s="251" t="str">
        <f t="shared" si="78"/>
        <v/>
      </c>
      <c r="O533" s="251" t="str">
        <f t="shared" si="79"/>
        <v/>
      </c>
      <c r="P533" s="251" t="str">
        <f t="shared" si="80"/>
        <v/>
      </c>
      <c r="Q533" s="251" t="str">
        <f t="shared" si="81"/>
        <v/>
      </c>
      <c r="R533" s="251" t="str">
        <f t="shared" si="82"/>
        <v/>
      </c>
      <c r="S533" s="252" t="str">
        <f t="shared" si="83"/>
        <v/>
      </c>
      <c r="T533" s="253"/>
      <c r="U533" s="254">
        <v>0.23899999999999999</v>
      </c>
      <c r="V533" s="254">
        <v>0.22800000000000001</v>
      </c>
      <c r="W533" s="254">
        <v>0.224</v>
      </c>
      <c r="X533" s="254">
        <v>0.21099999999999999</v>
      </c>
      <c r="Y533" s="254">
        <v>0.20699999999999999</v>
      </c>
      <c r="Z533" s="254">
        <v>0.20100000000000001</v>
      </c>
      <c r="AA533" s="249"/>
      <c r="AB533" s="255"/>
      <c r="AC533" s="255"/>
      <c r="AD533" s="255"/>
      <c r="AE533" s="255"/>
      <c r="AF533" s="255"/>
      <c r="AG533" s="255"/>
      <c r="AH533" s="249"/>
      <c r="AI533" s="249"/>
      <c r="AJ533" s="249"/>
      <c r="AK533" s="249"/>
      <c r="AL533" s="249"/>
      <c r="AM533" s="249"/>
      <c r="AN533" s="249"/>
      <c r="AO533" s="249"/>
    </row>
    <row r="534" spans="13:41" x14ac:dyDescent="0.35">
      <c r="M534" s="250">
        <v>5060</v>
      </c>
      <c r="N534" s="251" t="str">
        <f t="shared" si="78"/>
        <v/>
      </c>
      <c r="O534" s="251" t="str">
        <f t="shared" si="79"/>
        <v/>
      </c>
      <c r="P534" s="251" t="str">
        <f t="shared" si="80"/>
        <v/>
      </c>
      <c r="Q534" s="251" t="str">
        <f t="shared" si="81"/>
        <v/>
      </c>
      <c r="R534" s="251" t="str">
        <f t="shared" si="82"/>
        <v/>
      </c>
      <c r="S534" s="252" t="str">
        <f t="shared" si="83"/>
        <v/>
      </c>
      <c r="T534" s="253"/>
      <c r="U534" s="254">
        <v>0.249</v>
      </c>
      <c r="V534" s="254">
        <v>0.23799999999999999</v>
      </c>
      <c r="W534" s="254">
        <v>0.23400000000000001</v>
      </c>
      <c r="X534" s="254">
        <v>0.221</v>
      </c>
      <c r="Y534" s="254">
        <v>0.217</v>
      </c>
      <c r="Z534" s="254">
        <v>0.21299999999999999</v>
      </c>
      <c r="AA534" s="249"/>
      <c r="AB534" s="255"/>
      <c r="AC534" s="255"/>
      <c r="AD534" s="255"/>
      <c r="AE534" s="255"/>
      <c r="AF534" s="255"/>
      <c r="AG534" s="255"/>
      <c r="AH534" s="249"/>
      <c r="AI534" s="249"/>
      <c r="AJ534" s="249"/>
      <c r="AK534" s="249"/>
      <c r="AL534" s="249"/>
      <c r="AM534" s="249"/>
      <c r="AN534" s="249"/>
      <c r="AO534" s="249"/>
    </row>
    <row r="535" spans="13:41" x14ac:dyDescent="0.35">
      <c r="M535" s="250">
        <v>5356</v>
      </c>
      <c r="N535" s="251" t="str">
        <f t="shared" si="78"/>
        <v/>
      </c>
      <c r="O535" s="251" t="str">
        <f t="shared" si="79"/>
        <v/>
      </c>
      <c r="P535" s="251" t="str">
        <f t="shared" si="80"/>
        <v/>
      </c>
      <c r="Q535" s="251" t="str">
        <f t="shared" si="81"/>
        <v/>
      </c>
      <c r="R535" s="251" t="str">
        <f t="shared" si="82"/>
        <v/>
      </c>
      <c r="S535" s="252" t="str">
        <f t="shared" si="83"/>
        <v/>
      </c>
      <c r="T535" s="253"/>
      <c r="U535" s="254">
        <v>0.25900000000000001</v>
      </c>
      <c r="V535" s="254">
        <v>0.248</v>
      </c>
      <c r="W535" s="254">
        <v>0.24399999999999999</v>
      </c>
      <c r="X535" s="254">
        <v>0.23</v>
      </c>
      <c r="Y535" s="254">
        <v>0.22600000000000001</v>
      </c>
      <c r="Z535" s="254">
        <v>0.222</v>
      </c>
      <c r="AA535" s="249"/>
      <c r="AB535" s="255"/>
      <c r="AC535" s="255"/>
      <c r="AD535" s="255"/>
      <c r="AE535" s="255"/>
      <c r="AF535" s="255"/>
      <c r="AG535" s="255"/>
      <c r="AH535" s="249"/>
      <c r="AI535" s="249"/>
      <c r="AJ535" s="249"/>
      <c r="AK535" s="249"/>
      <c r="AL535" s="249"/>
      <c r="AM535" s="249"/>
      <c r="AN535" s="249"/>
      <c r="AO535" s="249"/>
    </row>
    <row r="536" spans="13:41" x14ac:dyDescent="0.35">
      <c r="M536" s="250">
        <v>5799</v>
      </c>
      <c r="N536" s="251" t="str">
        <f t="shared" si="78"/>
        <v/>
      </c>
      <c r="O536" s="251" t="str">
        <f t="shared" si="79"/>
        <v/>
      </c>
      <c r="P536" s="251" t="str">
        <f t="shared" si="80"/>
        <v/>
      </c>
      <c r="Q536" s="251" t="str">
        <f t="shared" si="81"/>
        <v/>
      </c>
      <c r="R536" s="251" t="str">
        <f t="shared" si="82"/>
        <v/>
      </c>
      <c r="S536" s="252" t="str">
        <f t="shared" si="83"/>
        <v/>
      </c>
      <c r="T536" s="253"/>
      <c r="U536" s="254">
        <v>0.26900000000000002</v>
      </c>
      <c r="V536" s="254">
        <v>0.25800000000000001</v>
      </c>
      <c r="W536" s="254">
        <v>0.254</v>
      </c>
      <c r="X536" s="254">
        <v>0.24</v>
      </c>
      <c r="Y536" s="254">
        <v>0.23599999999999999</v>
      </c>
      <c r="Z536" s="254">
        <v>0.23200000000000001</v>
      </c>
      <c r="AA536" s="249"/>
      <c r="AB536" s="255"/>
      <c r="AC536" s="255"/>
      <c r="AD536" s="255"/>
      <c r="AE536" s="255"/>
      <c r="AF536" s="255"/>
      <c r="AG536" s="255"/>
      <c r="AH536" s="249"/>
      <c r="AI536" s="249"/>
      <c r="AJ536" s="249"/>
      <c r="AK536" s="249"/>
      <c r="AL536" s="249"/>
      <c r="AM536" s="249"/>
      <c r="AN536" s="249"/>
      <c r="AO536" s="249"/>
    </row>
    <row r="537" spans="13:41" x14ac:dyDescent="0.35">
      <c r="M537" s="250">
        <v>6241</v>
      </c>
      <c r="N537" s="251" t="str">
        <f t="shared" si="78"/>
        <v/>
      </c>
      <c r="O537" s="251" t="str">
        <f t="shared" si="79"/>
        <v/>
      </c>
      <c r="P537" s="251" t="str">
        <f t="shared" si="80"/>
        <v/>
      </c>
      <c r="Q537" s="251" t="str">
        <f t="shared" si="81"/>
        <v/>
      </c>
      <c r="R537" s="251" t="str">
        <f t="shared" si="82"/>
        <v/>
      </c>
      <c r="S537" s="252" t="str">
        <f t="shared" si="83"/>
        <v/>
      </c>
      <c r="T537" s="253"/>
      <c r="U537" s="254">
        <v>0.28299999999999997</v>
      </c>
      <c r="V537" s="254">
        <v>0.27200000000000002</v>
      </c>
      <c r="W537" s="254">
        <v>0.26900000000000002</v>
      </c>
      <c r="X537" s="254">
        <v>0.255</v>
      </c>
      <c r="Y537" s="254">
        <v>0.251</v>
      </c>
      <c r="Z537" s="254">
        <v>0.247</v>
      </c>
      <c r="AA537" s="249"/>
      <c r="AB537" s="255"/>
      <c r="AC537" s="255"/>
      <c r="AD537" s="255"/>
      <c r="AE537" s="255"/>
      <c r="AF537" s="255"/>
      <c r="AG537" s="255"/>
      <c r="AH537" s="249"/>
      <c r="AI537" s="249"/>
      <c r="AJ537" s="249"/>
      <c r="AK537" s="249"/>
      <c r="AL537" s="249"/>
      <c r="AM537" s="249"/>
      <c r="AN537" s="249"/>
      <c r="AO537" s="249"/>
    </row>
    <row r="538" spans="13:41" x14ac:dyDescent="0.35">
      <c r="M538" s="250">
        <v>6966</v>
      </c>
      <c r="N538" s="251" t="str">
        <f t="shared" si="78"/>
        <v/>
      </c>
      <c r="O538" s="251" t="str">
        <f t="shared" si="79"/>
        <v/>
      </c>
      <c r="P538" s="251" t="str">
        <f t="shared" si="80"/>
        <v/>
      </c>
      <c r="Q538" s="251" t="str">
        <f t="shared" si="81"/>
        <v/>
      </c>
      <c r="R538" s="251" t="str">
        <f t="shared" si="82"/>
        <v/>
      </c>
      <c r="S538" s="252" t="str">
        <f t="shared" si="83"/>
        <v/>
      </c>
      <c r="T538" s="253"/>
      <c r="U538" s="254">
        <v>0.29699999999999999</v>
      </c>
      <c r="V538" s="254">
        <v>0.28899999999999998</v>
      </c>
      <c r="W538" s="254">
        <v>0.28699999999999998</v>
      </c>
      <c r="X538" s="254">
        <v>0.27500000000000002</v>
      </c>
      <c r="Y538" s="254">
        <v>0.27300000000000002</v>
      </c>
      <c r="Z538" s="254">
        <v>0.27100000000000002</v>
      </c>
      <c r="AA538" s="249"/>
      <c r="AB538" s="255"/>
      <c r="AC538" s="255"/>
      <c r="AD538" s="255"/>
      <c r="AE538" s="255"/>
      <c r="AF538" s="255"/>
      <c r="AG538" s="255"/>
      <c r="AH538" s="249"/>
      <c r="AI538" s="249"/>
      <c r="AJ538" s="249"/>
      <c r="AK538" s="249"/>
      <c r="AL538" s="249"/>
      <c r="AM538" s="249"/>
      <c r="AN538" s="249"/>
      <c r="AO538" s="249"/>
    </row>
    <row r="539" spans="13:41" x14ac:dyDescent="0.35">
      <c r="M539" s="250">
        <v>7448</v>
      </c>
      <c r="N539" s="251" t="str">
        <f t="shared" si="78"/>
        <v/>
      </c>
      <c r="O539" s="251" t="str">
        <f t="shared" si="79"/>
        <v/>
      </c>
      <c r="P539" s="251" t="str">
        <f t="shared" si="80"/>
        <v/>
      </c>
      <c r="Q539" s="251" t="str">
        <f t="shared" si="81"/>
        <v/>
      </c>
      <c r="R539" s="251" t="str">
        <f t="shared" si="82"/>
        <v/>
      </c>
      <c r="S539" s="252" t="str">
        <f t="shared" si="83"/>
        <v/>
      </c>
      <c r="T539" s="253"/>
      <c r="U539" s="254">
        <v>0.307</v>
      </c>
      <c r="V539" s="254">
        <v>0.3</v>
      </c>
      <c r="W539" s="254">
        <v>0.29599999999999999</v>
      </c>
      <c r="X539" s="254">
        <v>0.28499999999999998</v>
      </c>
      <c r="Y539" s="254">
        <v>0.28299999999999997</v>
      </c>
      <c r="Z539" s="254">
        <v>0.28100000000000003</v>
      </c>
      <c r="AA539" s="249"/>
      <c r="AB539" s="255"/>
      <c r="AC539" s="255"/>
      <c r="AD539" s="255"/>
      <c r="AE539" s="255"/>
      <c r="AF539" s="255"/>
      <c r="AG539" s="255"/>
      <c r="AH539" s="249"/>
      <c r="AI539" s="249"/>
      <c r="AJ539" s="249"/>
      <c r="AK539" s="249"/>
      <c r="AL539" s="249"/>
      <c r="AM539" s="249"/>
      <c r="AN539" s="249"/>
      <c r="AO539" s="249"/>
    </row>
    <row r="540" spans="13:41" x14ac:dyDescent="0.35">
      <c r="M540" s="250">
        <v>8046</v>
      </c>
      <c r="N540" s="251" t="str">
        <f t="shared" si="78"/>
        <v/>
      </c>
      <c r="O540" s="251" t="str">
        <f t="shared" si="79"/>
        <v/>
      </c>
      <c r="P540" s="251" t="str">
        <f t="shared" si="80"/>
        <v/>
      </c>
      <c r="Q540" s="251" t="str">
        <f t="shared" si="81"/>
        <v/>
      </c>
      <c r="R540" s="251" t="str">
        <f t="shared" si="82"/>
        <v/>
      </c>
      <c r="S540" s="252" t="str">
        <f t="shared" si="83"/>
        <v/>
      </c>
      <c r="T540" s="253"/>
      <c r="U540" s="254">
        <v>0.317</v>
      </c>
      <c r="V540" s="254">
        <v>0.31</v>
      </c>
      <c r="W540" s="254">
        <v>0.308</v>
      </c>
      <c r="X540" s="254">
        <v>0.29399999999999998</v>
      </c>
      <c r="Y540" s="254">
        <v>0.29299999999999998</v>
      </c>
      <c r="Z540" s="254">
        <v>0.29099999999999998</v>
      </c>
      <c r="AA540" s="249"/>
      <c r="AB540" s="255"/>
      <c r="AC540" s="255"/>
      <c r="AD540" s="255"/>
      <c r="AE540" s="255"/>
      <c r="AF540" s="255"/>
      <c r="AG540" s="255"/>
      <c r="AH540" s="249"/>
      <c r="AI540" s="249"/>
      <c r="AJ540" s="249"/>
      <c r="AK540" s="249"/>
      <c r="AL540" s="249"/>
      <c r="AM540" s="249"/>
      <c r="AN540" s="249"/>
      <c r="AO540" s="249"/>
    </row>
    <row r="541" spans="13:41" x14ac:dyDescent="0.35">
      <c r="M541" s="250">
        <v>8749</v>
      </c>
      <c r="N541" s="251" t="str">
        <f t="shared" si="78"/>
        <v/>
      </c>
      <c r="O541" s="251" t="str">
        <f t="shared" si="79"/>
        <v/>
      </c>
      <c r="P541" s="251" t="str">
        <f t="shared" si="80"/>
        <v/>
      </c>
      <c r="Q541" s="251" t="str">
        <f t="shared" si="81"/>
        <v/>
      </c>
      <c r="R541" s="251" t="str">
        <f t="shared" si="82"/>
        <v/>
      </c>
      <c r="S541" s="252" t="str">
        <f t="shared" si="83"/>
        <v/>
      </c>
      <c r="T541" s="253"/>
      <c r="U541" s="254">
        <v>0.32600000000000001</v>
      </c>
      <c r="V541" s="254">
        <v>0.31900000000000001</v>
      </c>
      <c r="W541" s="254">
        <v>0.318</v>
      </c>
      <c r="X541" s="254">
        <v>0.30599999999999999</v>
      </c>
      <c r="Y541" s="254">
        <v>0.30199999999999999</v>
      </c>
      <c r="Z541" s="254">
        <v>0.3</v>
      </c>
      <c r="AA541" s="249"/>
      <c r="AB541" s="255"/>
      <c r="AC541" s="255"/>
      <c r="AD541" s="255"/>
      <c r="AE541" s="255"/>
      <c r="AF541" s="255"/>
      <c r="AG541" s="255"/>
      <c r="AH541" s="249"/>
      <c r="AI541" s="249"/>
      <c r="AJ541" s="249"/>
      <c r="AK541" s="249"/>
      <c r="AL541" s="249"/>
      <c r="AM541" s="249"/>
      <c r="AN541" s="249"/>
      <c r="AO541" s="249"/>
    </row>
    <row r="542" spans="13:41" x14ac:dyDescent="0.35">
      <c r="M542" s="250">
        <v>9555</v>
      </c>
      <c r="N542" s="251" t="str">
        <f t="shared" si="78"/>
        <v/>
      </c>
      <c r="O542" s="251" t="str">
        <f t="shared" si="79"/>
        <v/>
      </c>
      <c r="P542" s="251" t="str">
        <f t="shared" si="80"/>
        <v/>
      </c>
      <c r="Q542" s="251" t="str">
        <f t="shared" si="81"/>
        <v/>
      </c>
      <c r="R542" s="251" t="str">
        <f t="shared" si="82"/>
        <v/>
      </c>
      <c r="S542" s="252" t="str">
        <f t="shared" si="83"/>
        <v/>
      </c>
      <c r="T542" s="253"/>
      <c r="U542" s="254">
        <v>0.33600000000000002</v>
      </c>
      <c r="V542" s="254">
        <v>0.32900000000000001</v>
      </c>
      <c r="W542" s="254">
        <v>0.32700000000000001</v>
      </c>
      <c r="X542" s="254">
        <v>0.316</v>
      </c>
      <c r="Y542" s="254">
        <v>0.314</v>
      </c>
      <c r="Z542" s="254">
        <v>0.31</v>
      </c>
      <c r="AA542" s="249"/>
      <c r="AB542" s="255"/>
      <c r="AC542" s="255"/>
      <c r="AD542" s="255"/>
      <c r="AE542" s="255"/>
      <c r="AF542" s="255"/>
      <c r="AG542" s="255"/>
      <c r="AH542" s="249"/>
      <c r="AI542" s="249"/>
      <c r="AJ542" s="249"/>
      <c r="AK542" s="249"/>
      <c r="AL542" s="249"/>
      <c r="AM542" s="249"/>
      <c r="AN542" s="249"/>
      <c r="AO542" s="249"/>
    </row>
    <row r="543" spans="13:41" x14ac:dyDescent="0.35">
      <c r="M543" s="250">
        <v>10311</v>
      </c>
      <c r="N543" s="251" t="str">
        <f t="shared" si="78"/>
        <v/>
      </c>
      <c r="O543" s="251" t="str">
        <f t="shared" si="79"/>
        <v/>
      </c>
      <c r="P543" s="251" t="str">
        <f t="shared" si="80"/>
        <v/>
      </c>
      <c r="Q543" s="251" t="str">
        <f t="shared" si="81"/>
        <v/>
      </c>
      <c r="R543" s="251" t="str">
        <f t="shared" si="82"/>
        <v/>
      </c>
      <c r="S543" s="252" t="str">
        <f t="shared" si="83"/>
        <v/>
      </c>
      <c r="T543" s="253"/>
      <c r="U543" s="254">
        <v>0.35099999999999998</v>
      </c>
      <c r="V543" s="254">
        <v>0.34399999999999997</v>
      </c>
      <c r="W543" s="254">
        <v>0.34200000000000003</v>
      </c>
      <c r="X543" s="254">
        <v>0.33</v>
      </c>
      <c r="Y543" s="254">
        <v>0.32800000000000001</v>
      </c>
      <c r="Z543" s="254">
        <v>0.32600000000000001</v>
      </c>
      <c r="AA543" s="249"/>
      <c r="AB543" s="255"/>
      <c r="AC543" s="255"/>
      <c r="AD543" s="255"/>
      <c r="AE543" s="255"/>
      <c r="AF543" s="255"/>
      <c r="AG543" s="255"/>
      <c r="AH543" s="249"/>
      <c r="AI543" s="249"/>
      <c r="AJ543" s="249"/>
      <c r="AK543" s="249"/>
      <c r="AL543" s="249"/>
      <c r="AM543" s="249"/>
      <c r="AN543" s="249"/>
      <c r="AO543" s="249"/>
    </row>
    <row r="544" spans="13:41" x14ac:dyDescent="0.35">
      <c r="M544" s="250">
        <v>12901</v>
      </c>
      <c r="N544" s="251" t="str">
        <f t="shared" si="78"/>
        <v/>
      </c>
      <c r="O544" s="251" t="str">
        <f t="shared" si="79"/>
        <v/>
      </c>
      <c r="P544" s="251" t="str">
        <f t="shared" si="80"/>
        <v/>
      </c>
      <c r="Q544" s="251" t="str">
        <f t="shared" si="81"/>
        <v/>
      </c>
      <c r="R544" s="251" t="str">
        <f t="shared" si="82"/>
        <v/>
      </c>
      <c r="S544" s="252" t="str">
        <f t="shared" si="83"/>
        <v/>
      </c>
      <c r="T544" s="253"/>
      <c r="U544" s="254">
        <v>0.36099999999999999</v>
      </c>
      <c r="V544" s="254">
        <v>0.35399999999999998</v>
      </c>
      <c r="W544" s="254">
        <v>0.35199999999999998</v>
      </c>
      <c r="X544" s="254">
        <v>0.34</v>
      </c>
      <c r="Y544" s="254">
        <v>0.33800000000000002</v>
      </c>
      <c r="Z544" s="254">
        <v>0.33600000000000002</v>
      </c>
      <c r="AA544" s="249"/>
      <c r="AB544" s="255"/>
      <c r="AC544" s="255"/>
      <c r="AD544" s="255"/>
      <c r="AE544" s="255"/>
      <c r="AF544" s="255"/>
      <c r="AG544" s="255"/>
      <c r="AH544" s="249"/>
      <c r="AI544" s="249"/>
      <c r="AJ544" s="249"/>
      <c r="AK544" s="249"/>
      <c r="AL544" s="249"/>
      <c r="AM544" s="249"/>
      <c r="AN544" s="249"/>
      <c r="AO544" s="249"/>
    </row>
    <row r="545" spans="13:41" x14ac:dyDescent="0.35">
      <c r="M545" s="250">
        <v>12901</v>
      </c>
      <c r="N545" s="251" t="str">
        <f>IF($R$11&gt;=M544+0.01,U545,"")</f>
        <v/>
      </c>
      <c r="O545" s="251" t="str">
        <f>IF($R$11&gt;=M544,V545,"")</f>
        <v/>
      </c>
      <c r="P545" s="251" t="str">
        <f>IF($R$11&gt;=M544,W545,"")</f>
        <v/>
      </c>
      <c r="Q545" s="251" t="str">
        <f>IF($R$11&gt;=M544,X545,"")</f>
        <v/>
      </c>
      <c r="R545" s="252" t="str">
        <f>IF($R$11&gt;=M544,Y545,"")</f>
        <v/>
      </c>
      <c r="S545" s="251" t="str">
        <f>IF($R$11&gt;=M544,Z545,"")</f>
        <v/>
      </c>
      <c r="T545" s="253"/>
      <c r="U545" s="254">
        <v>0.37</v>
      </c>
      <c r="V545" s="254">
        <v>0.36399999999999999</v>
      </c>
      <c r="W545" s="254">
        <v>0.36199999999999999</v>
      </c>
      <c r="X545" s="254">
        <v>0.35</v>
      </c>
      <c r="Y545" s="254">
        <v>0.34799999999999998</v>
      </c>
      <c r="Z545" s="254">
        <v>0.34599999999999997</v>
      </c>
      <c r="AA545" s="249"/>
      <c r="AB545" s="255"/>
      <c r="AC545" s="291"/>
      <c r="AD545" s="291"/>
      <c r="AE545" s="255"/>
      <c r="AF545" s="255"/>
      <c r="AG545" s="255"/>
      <c r="AH545" s="249"/>
      <c r="AI545" s="249"/>
      <c r="AJ545" s="249"/>
      <c r="AK545" s="249"/>
      <c r="AL545" s="249"/>
      <c r="AM545" s="249"/>
      <c r="AN545" s="249"/>
      <c r="AO545" s="249"/>
    </row>
    <row r="546" spans="13:41" x14ac:dyDescent="0.35">
      <c r="M546" s="249"/>
      <c r="N546" s="257" t="str">
        <f>IF($A$15=1,IF($A$2=6,IF($I$2=0,SUM(N516:N545),""),""),"")</f>
        <v/>
      </c>
      <c r="O546" s="258" t="str">
        <f>IF($A$15=1,IF($A$2=6,IF($I$2=1,SUM(O516:O545),""),""),"")</f>
        <v/>
      </c>
      <c r="P546" s="258" t="str">
        <f>IF($A$15=1,IF($A$2=6,IF($I$2=2,SUM(P516:P545),""),""),"")</f>
        <v/>
      </c>
      <c r="Q546" s="258" t="str">
        <f>IF($A$15=1,IF($A$2=6,IF($I$2=3,SUM(Q516:Q545),""),""),"")</f>
        <v/>
      </c>
      <c r="R546" s="258" t="str">
        <f>IF($A$15=1,IF($A$2=6,IF($I$2=4,SUM(R516:R545),""),""),"")</f>
        <v/>
      </c>
      <c r="S546" s="259" t="str">
        <f>IF($A$15=1,IF($A$2=6,IF($I$2=5,SUM(S516:S545),""),""),"")</f>
        <v/>
      </c>
      <c r="T546" s="260">
        <f>SUM(N546:S546)</f>
        <v>0</v>
      </c>
      <c r="U546" s="253"/>
      <c r="V546" s="253"/>
      <c r="W546" s="253"/>
      <c r="X546" s="253"/>
      <c r="Y546" s="253"/>
      <c r="Z546" s="253"/>
      <c r="AA546" s="249"/>
      <c r="AB546" s="255"/>
      <c r="AC546" s="291"/>
      <c r="AD546" s="291"/>
      <c r="AE546" s="255"/>
      <c r="AF546" s="255"/>
      <c r="AG546" s="255"/>
      <c r="AH546" s="249"/>
      <c r="AI546" s="249"/>
      <c r="AJ546" s="249"/>
      <c r="AK546" s="249"/>
      <c r="AL546" s="249"/>
      <c r="AM546" s="249"/>
      <c r="AN546" s="249"/>
      <c r="AO546" s="249"/>
    </row>
    <row r="547" spans="13:41" x14ac:dyDescent="0.35">
      <c r="M547" s="249"/>
      <c r="N547" s="249"/>
      <c r="O547" s="249"/>
      <c r="P547" s="261"/>
      <c r="Q547" s="249"/>
      <c r="R547" s="261"/>
      <c r="S547" s="249"/>
      <c r="T547" s="253"/>
      <c r="U547" s="253"/>
      <c r="V547" s="253"/>
      <c r="W547" s="253"/>
      <c r="X547" s="253"/>
      <c r="Y547" s="253"/>
      <c r="Z547" s="253"/>
      <c r="AA547" s="249"/>
      <c r="AB547" s="249"/>
      <c r="AC547" s="249"/>
      <c r="AD547" s="249"/>
      <c r="AE547" s="249"/>
      <c r="AF547" s="249"/>
      <c r="AG547" s="249"/>
      <c r="AH547" s="249"/>
      <c r="AI547" s="249"/>
      <c r="AJ547" s="249"/>
      <c r="AK547" s="249"/>
      <c r="AL547" s="249"/>
      <c r="AM547" s="249"/>
      <c r="AN547" s="249"/>
      <c r="AO547" s="249"/>
    </row>
    <row r="548" spans="13:41" x14ac:dyDescent="0.35">
      <c r="M548" s="249"/>
      <c r="N548" s="249"/>
      <c r="O548" s="249"/>
      <c r="P548" s="250"/>
      <c r="Q548" s="249"/>
      <c r="R548" s="249"/>
      <c r="S548" s="249"/>
      <c r="T548" s="253"/>
      <c r="U548" s="253"/>
      <c r="V548" s="253"/>
      <c r="W548" s="253"/>
      <c r="X548" s="253"/>
      <c r="Y548" s="253"/>
      <c r="Z548" s="253"/>
      <c r="AA548" s="249"/>
      <c r="AB548" s="249"/>
      <c r="AC548" s="249"/>
      <c r="AD548" s="249"/>
      <c r="AE548" s="249"/>
      <c r="AF548" s="249"/>
      <c r="AG548" s="249"/>
      <c r="AH548" s="249"/>
      <c r="AI548" s="249"/>
      <c r="AJ548" s="249"/>
      <c r="AK548" s="249"/>
      <c r="AL548" s="249"/>
      <c r="AM548" s="249"/>
      <c r="AN548" s="249"/>
      <c r="AO548" s="249"/>
    </row>
    <row r="549" spans="13:41" x14ac:dyDescent="0.35">
      <c r="M549" s="249"/>
      <c r="N549" s="249"/>
      <c r="O549" s="249"/>
      <c r="P549" s="249"/>
      <c r="Q549" s="249"/>
      <c r="R549" s="249"/>
      <c r="S549" s="249"/>
      <c r="T549" s="253"/>
      <c r="U549" s="253"/>
      <c r="V549" s="253"/>
      <c r="W549" s="253"/>
      <c r="X549" s="253"/>
      <c r="Y549" s="253"/>
      <c r="Z549" s="253"/>
      <c r="AA549" s="249"/>
      <c r="AB549" s="249"/>
      <c r="AC549" s="249"/>
      <c r="AD549" s="249"/>
      <c r="AE549" s="249"/>
      <c r="AF549" s="249"/>
      <c r="AG549" s="249"/>
      <c r="AH549" s="249"/>
      <c r="AI549" s="249"/>
      <c r="AJ549" s="249"/>
      <c r="AK549" s="249"/>
      <c r="AL549" s="249"/>
      <c r="AM549" s="249"/>
      <c r="AN549" s="249"/>
      <c r="AO549" s="249"/>
    </row>
    <row r="550" spans="13:41" x14ac:dyDescent="0.35">
      <c r="M550" s="263" t="s">
        <v>214</v>
      </c>
      <c r="N550" s="272"/>
      <c r="O550" s="273" t="s">
        <v>256</v>
      </c>
      <c r="P550" s="283"/>
      <c r="Q550" s="273"/>
      <c r="R550" s="273"/>
      <c r="S550" s="273"/>
      <c r="T550" s="253"/>
      <c r="U550" s="275" t="str">
        <f>O550</f>
        <v>Tabelas de IRS de retenção na fonte referente a 2022 nos Açores</v>
      </c>
      <c r="V550" s="253"/>
      <c r="W550" s="253"/>
      <c r="X550" s="253"/>
      <c r="Y550" s="253"/>
      <c r="Z550" s="253"/>
      <c r="AA550" s="249"/>
      <c r="AB550" s="249"/>
      <c r="AC550" s="249"/>
      <c r="AD550" s="249"/>
      <c r="AE550" s="249"/>
      <c r="AF550" s="249"/>
      <c r="AG550" s="249"/>
      <c r="AH550" s="249"/>
      <c r="AI550" s="249"/>
      <c r="AJ550" s="249"/>
      <c r="AK550" s="249"/>
      <c r="AL550" s="249"/>
      <c r="AM550" s="249"/>
      <c r="AN550" s="249"/>
      <c r="AO550" s="249"/>
    </row>
    <row r="551" spans="13:41" x14ac:dyDescent="0.35">
      <c r="M551" s="273"/>
      <c r="N551" s="273"/>
      <c r="O551" s="273" t="s">
        <v>187</v>
      </c>
      <c r="P551" s="273"/>
      <c r="Q551" s="273"/>
      <c r="R551" s="273"/>
      <c r="S551" s="273"/>
      <c r="T551" s="253"/>
      <c r="U551" s="275" t="str">
        <f>M550</f>
        <v>Actualizado para …</v>
      </c>
      <c r="V551" s="253"/>
      <c r="W551" s="253"/>
      <c r="X551" s="253"/>
      <c r="Y551" s="253"/>
      <c r="Z551" s="253"/>
      <c r="AA551" s="249"/>
      <c r="AB551" s="249"/>
      <c r="AC551" s="249"/>
      <c r="AD551" s="249"/>
      <c r="AE551" s="249"/>
      <c r="AF551" s="249"/>
      <c r="AG551" s="249"/>
      <c r="AH551" s="249"/>
      <c r="AI551" s="249"/>
      <c r="AJ551" s="249"/>
      <c r="AK551" s="249"/>
      <c r="AL551" s="249"/>
      <c r="AM551" s="249"/>
      <c r="AN551" s="249"/>
      <c r="AO551" s="249"/>
    </row>
    <row r="552" spans="13:41" x14ac:dyDescent="0.35">
      <c r="M552" s="273"/>
      <c r="N552" s="273"/>
      <c r="O552" s="276" t="s">
        <v>193</v>
      </c>
      <c r="P552" s="273"/>
      <c r="Q552" s="273"/>
      <c r="R552" s="273"/>
      <c r="S552" s="273"/>
      <c r="T552" s="253"/>
      <c r="U552" s="275" t="str">
        <f>O552</f>
        <v>Não casado deficiente</v>
      </c>
      <c r="V552" s="253"/>
      <c r="W552" s="253"/>
      <c r="X552" s="253"/>
      <c r="Y552" s="253"/>
      <c r="Z552" s="253"/>
      <c r="AA552" s="249"/>
      <c r="AB552" s="249"/>
      <c r="AC552" s="249"/>
      <c r="AD552" s="249"/>
      <c r="AE552" s="249"/>
      <c r="AF552" s="249"/>
      <c r="AG552" s="249"/>
      <c r="AH552" s="249"/>
      <c r="AI552" s="249"/>
      <c r="AJ552" s="249"/>
      <c r="AK552" s="249"/>
      <c r="AL552" s="249"/>
      <c r="AM552" s="249"/>
      <c r="AN552" s="249"/>
      <c r="AO552" s="249"/>
    </row>
    <row r="553" spans="13:41" x14ac:dyDescent="0.35">
      <c r="M553" s="267" t="s">
        <v>154</v>
      </c>
      <c r="N553" s="268" t="s">
        <v>155</v>
      </c>
      <c r="O553" s="268" t="s">
        <v>156</v>
      </c>
      <c r="P553" s="268" t="s">
        <v>157</v>
      </c>
      <c r="Q553" s="268" t="s">
        <v>158</v>
      </c>
      <c r="R553" s="268" t="s">
        <v>159</v>
      </c>
      <c r="S553" s="268" t="s">
        <v>160</v>
      </c>
      <c r="T553" s="253"/>
      <c r="U553" s="269" t="str">
        <f t="shared" ref="U553:Z553" si="84">N553</f>
        <v>0 dep</v>
      </c>
      <c r="V553" s="269" t="str">
        <f t="shared" si="84"/>
        <v>1 dep</v>
      </c>
      <c r="W553" s="269" t="str">
        <f t="shared" si="84"/>
        <v>2 dep</v>
      </c>
      <c r="X553" s="269" t="str">
        <f t="shared" si="84"/>
        <v>3 dep</v>
      </c>
      <c r="Y553" s="269" t="str">
        <f t="shared" si="84"/>
        <v>4 dep</v>
      </c>
      <c r="Z553" s="269" t="str">
        <f t="shared" si="84"/>
        <v>5 dep. ou +</v>
      </c>
      <c r="AA553" s="249"/>
      <c r="AB553" s="249"/>
      <c r="AC553" s="249"/>
      <c r="AD553" s="249"/>
      <c r="AE553" s="249"/>
      <c r="AF553" s="249"/>
      <c r="AG553" s="249"/>
      <c r="AH553" s="249"/>
      <c r="AI553" s="249"/>
      <c r="AJ553" s="249"/>
      <c r="AK553" s="249"/>
      <c r="AL553" s="249"/>
      <c r="AM553" s="249"/>
      <c r="AN553" s="249"/>
      <c r="AO553" s="249"/>
    </row>
    <row r="554" spans="13:41" x14ac:dyDescent="0.35">
      <c r="M554" s="277">
        <v>1322</v>
      </c>
      <c r="N554" s="251" t="str">
        <f>IF($R$11&lt;=M554,IF($R$11&gt;=0,0,""),"")</f>
        <v/>
      </c>
      <c r="O554" s="251" t="str">
        <f>IF($R$11&lt;=M554,IF($R$11&gt;=0,0,""),"")</f>
        <v/>
      </c>
      <c r="P554" s="251" t="str">
        <f>IF($R$11&lt;=M554,IF($R$11&gt;=0,0,""),"")</f>
        <v/>
      </c>
      <c r="Q554" s="251" t="str">
        <f>IF($R$11&lt;=M554,IF($R$11&gt;=0,0,""),"")</f>
        <v/>
      </c>
      <c r="R554" s="251" t="str">
        <f>IF($R$11&lt;=M554,IF($R$11&gt;=0,0,""),"")</f>
        <v/>
      </c>
      <c r="S554" s="251" t="str">
        <f>IF($R$11&lt;=M554,IF($R$11&gt;=0,0,""),"")</f>
        <v/>
      </c>
      <c r="T554" s="253"/>
      <c r="U554" s="278">
        <v>0</v>
      </c>
      <c r="V554" s="278">
        <v>0</v>
      </c>
      <c r="W554" s="278">
        <v>0</v>
      </c>
      <c r="X554" s="278">
        <v>0</v>
      </c>
      <c r="Y554" s="278">
        <v>0</v>
      </c>
      <c r="Z554" s="278">
        <v>0</v>
      </c>
      <c r="AA554" s="249"/>
      <c r="AB554" s="249"/>
      <c r="AC554" s="249"/>
      <c r="AD554" s="249"/>
      <c r="AE554" s="249"/>
      <c r="AF554" s="249"/>
      <c r="AG554" s="249"/>
      <c r="AH554" s="249"/>
      <c r="AI554" s="249"/>
      <c r="AJ554" s="249"/>
      <c r="AK554" s="249"/>
      <c r="AL554" s="249"/>
      <c r="AM554" s="249"/>
      <c r="AN554" s="249"/>
      <c r="AO554" s="249"/>
    </row>
    <row r="555" spans="13:41" x14ac:dyDescent="0.35">
      <c r="M555" s="277">
        <v>1427</v>
      </c>
      <c r="N555" s="251" t="str">
        <f>IF($R$11&lt;=M555,IF($R$11&gt;=M554+0.01,U555,""),"")</f>
        <v/>
      </c>
      <c r="O555" s="251" t="str">
        <f>IF($R$11&lt;=M555,IF($R$11&gt;=M554+0.01,V555,""),"")</f>
        <v/>
      </c>
      <c r="P555" s="251" t="str">
        <f>IF($R$11&lt;=M555,IF($R$11&gt;=M554+0.01,W555,""),"")</f>
        <v/>
      </c>
      <c r="Q555" s="251" t="str">
        <f>IF($R$11&lt;=M555,IF($R$11&gt;=M554+0.01,X555,""),"")</f>
        <v/>
      </c>
      <c r="R555" s="251" t="str">
        <f>IF($R$11&lt;=M555,IF($R$11&gt;=M554+0.01,Y555,""),"")</f>
        <v/>
      </c>
      <c r="S555" s="252" t="str">
        <f>IF($R$11&lt;=M555,IF($R$11&gt;=M554+0.01,Z555,""),"")</f>
        <v/>
      </c>
      <c r="T555" s="253"/>
      <c r="U555" s="278">
        <v>8.0000000000000002E-3</v>
      </c>
      <c r="V555" s="278">
        <v>0</v>
      </c>
      <c r="W555" s="278">
        <v>0</v>
      </c>
      <c r="X555" s="278">
        <v>0</v>
      </c>
      <c r="Y555" s="278">
        <v>0</v>
      </c>
      <c r="Z555" s="278">
        <v>0</v>
      </c>
      <c r="AA555" s="249"/>
      <c r="AB555" s="279"/>
      <c r="AC555" s="279"/>
      <c r="AD555" s="279"/>
      <c r="AE555" s="279"/>
      <c r="AF555" s="279"/>
      <c r="AG555" s="279"/>
      <c r="AH555" s="249"/>
      <c r="AI555" s="249"/>
      <c r="AJ555" s="249"/>
      <c r="AK555" s="249"/>
      <c r="AL555" s="249"/>
      <c r="AM555" s="249"/>
      <c r="AN555" s="249"/>
      <c r="AO555" s="249"/>
    </row>
    <row r="556" spans="13:41" x14ac:dyDescent="0.35">
      <c r="M556" s="277">
        <v>1469</v>
      </c>
      <c r="N556" s="251" t="str">
        <f>IF($R$11&lt;=M556,IF($R$11&gt;=M555+0.01,U556,""),"")</f>
        <v/>
      </c>
      <c r="O556" s="251" t="str">
        <f>IF($R$11&lt;=M556,IF($R$11&gt;=M555+0.01,V556,""),"")</f>
        <v/>
      </c>
      <c r="P556" s="251" t="str">
        <f>IF($R$11&lt;=M556,IF($R$11&gt;=M555+0.01,W556,""),"")</f>
        <v/>
      </c>
      <c r="Q556" s="251" t="str">
        <f>IF($R$11&lt;=M556,IF($R$11&gt;=M555+0.01,X556,""),"")</f>
        <v/>
      </c>
      <c r="R556" s="251" t="str">
        <f>IF($R$11&lt;=M556,IF($R$11&gt;=M555+0.01,Y556,""),"")</f>
        <v/>
      </c>
      <c r="S556" s="252" t="str">
        <f>IF($R$11&lt;=M556,IF($R$11&gt;=M555+0.01,Z556,""),"")</f>
        <v/>
      </c>
      <c r="T556" s="253"/>
      <c r="U556" s="278">
        <v>2.9000000000000001E-2</v>
      </c>
      <c r="V556" s="278">
        <v>4.0000000000000001E-3</v>
      </c>
      <c r="W556" s="278">
        <v>0</v>
      </c>
      <c r="X556" s="278">
        <v>0</v>
      </c>
      <c r="Y556" s="278">
        <v>0</v>
      </c>
      <c r="Z556" s="278">
        <v>0</v>
      </c>
      <c r="AA556" s="249"/>
      <c r="AB556" s="279"/>
      <c r="AC556" s="279"/>
      <c r="AD556" s="279"/>
      <c r="AE556" s="279"/>
      <c r="AF556" s="279"/>
      <c r="AG556" s="279"/>
      <c r="AH556" s="249"/>
      <c r="AI556" s="249"/>
      <c r="AJ556" s="249"/>
      <c r="AK556" s="249"/>
      <c r="AL556" s="249"/>
      <c r="AM556" s="249"/>
      <c r="AN556" s="249"/>
      <c r="AO556" s="249"/>
    </row>
    <row r="557" spans="13:41" x14ac:dyDescent="0.35">
      <c r="M557" s="277">
        <v>1654</v>
      </c>
      <c r="N557" s="251">
        <f>IF($R$11&lt;=M557,IF($R$11&gt;=M556+0.01,U557,""),"")</f>
        <v>3.5999999999999997E-2</v>
      </c>
      <c r="O557" s="251">
        <f>IF($R$11&lt;=M557,IF($R$11&gt;=M556+0.01,V557,""),"")</f>
        <v>1.7999999999999999E-2</v>
      </c>
      <c r="P557" s="251">
        <f>IF($R$11&lt;=M557,IF($R$11&gt;=M556+0.01,W557,""),"")</f>
        <v>0</v>
      </c>
      <c r="Q557" s="251">
        <f>IF($R$11&lt;=M557,IF($R$11&gt;=M556+0.01,X557,""),"")</f>
        <v>0</v>
      </c>
      <c r="R557" s="251">
        <f>IF($R$11&lt;=M557,IF($R$11&gt;=M556+0.01,Y557,""),"")</f>
        <v>0</v>
      </c>
      <c r="S557" s="252">
        <f>IF($R$11&lt;=M557,IF($R$11&gt;=M556+0.01,Z557,""),"")</f>
        <v>0</v>
      </c>
      <c r="T557" s="253"/>
      <c r="U557" s="278">
        <v>3.5999999999999997E-2</v>
      </c>
      <c r="V557" s="278">
        <v>1.7999999999999999E-2</v>
      </c>
      <c r="W557" s="278">
        <v>0</v>
      </c>
      <c r="X557" s="278">
        <v>0</v>
      </c>
      <c r="Y557" s="278">
        <v>0</v>
      </c>
      <c r="Z557" s="278">
        <v>0</v>
      </c>
      <c r="AA557" s="249"/>
      <c r="AB557" s="279"/>
      <c r="AC557" s="279"/>
      <c r="AD557" s="279"/>
      <c r="AE557" s="279"/>
      <c r="AF557" s="279"/>
      <c r="AG557" s="279"/>
      <c r="AH557" s="249"/>
      <c r="AI557" s="249"/>
      <c r="AJ557" s="249"/>
      <c r="AK557" s="249"/>
      <c r="AL557" s="249"/>
      <c r="AM557" s="249"/>
      <c r="AN557" s="249"/>
      <c r="AO557" s="249"/>
    </row>
    <row r="558" spans="13:41" x14ac:dyDescent="0.35">
      <c r="M558" s="277">
        <v>1974</v>
      </c>
      <c r="N558" s="251" t="str">
        <f>IF($R$11&lt;=M558,IF($R$11&gt;=M557+0.01,U558,""),"")</f>
        <v/>
      </c>
      <c r="O558" s="251" t="str">
        <f>IF($R$11&lt;=M558,IF($R$11&gt;=M557+0.01,V558,""),"")</f>
        <v/>
      </c>
      <c r="P558" s="251" t="str">
        <f>IF($R$11&lt;=M558,IF($R$11&gt;=M557+0.01,W558,""),"")</f>
        <v/>
      </c>
      <c r="Q558" s="251" t="str">
        <f>IF($R$11&lt;=M558,IF($R$11&gt;=M557+0.01,X558,""),"")</f>
        <v/>
      </c>
      <c r="R558" s="251" t="str">
        <f>IF($R$11&lt;=M558,IF($R$11&gt;=M557+0.01,Y558,""),"")</f>
        <v/>
      </c>
      <c r="S558" s="252" t="str">
        <f>IF($R$11&lt;=M558,IF($R$11&gt;=M557+0.01,Z558,""),"")</f>
        <v/>
      </c>
      <c r="T558" s="253"/>
      <c r="U558" s="278">
        <v>4.5999999999999999E-2</v>
      </c>
      <c r="V558" s="278">
        <v>3.3000000000000002E-2</v>
      </c>
      <c r="W558" s="278">
        <v>2.5999999999999999E-2</v>
      </c>
      <c r="X558" s="278">
        <v>1E-3</v>
      </c>
      <c r="Y558" s="278">
        <v>0</v>
      </c>
      <c r="Z558" s="278">
        <v>0</v>
      </c>
      <c r="AA558" s="249"/>
      <c r="AB558" s="279"/>
      <c r="AC558" s="279"/>
      <c r="AD558" s="279"/>
      <c r="AE558" s="279"/>
      <c r="AF558" s="279"/>
      <c r="AG558" s="279"/>
      <c r="AH558" s="249"/>
      <c r="AI558" s="249"/>
      <c r="AJ558" s="249"/>
      <c r="AK558" s="249"/>
      <c r="AL558" s="249"/>
      <c r="AM558" s="249"/>
      <c r="AN558" s="249"/>
      <c r="AO558" s="249"/>
    </row>
    <row r="559" spans="13:41" x14ac:dyDescent="0.35">
      <c r="M559" s="277">
        <v>2098</v>
      </c>
      <c r="N559" s="251" t="str">
        <f t="shared" ref="N559:N582" si="85">IF($R$11&lt;=M559,IF($R$11&gt;=M558+0.01,U559,""),"")</f>
        <v/>
      </c>
      <c r="O559" s="251" t="str">
        <f t="shared" ref="O559:O582" si="86">IF($R$11&lt;=M559,IF($R$11&gt;=M558+0.01,V559,""),"")</f>
        <v/>
      </c>
      <c r="P559" s="251" t="str">
        <f t="shared" ref="P559:P582" si="87">IF($R$11&lt;=M559,IF($R$11&gt;=M558+0.01,W559,""),"")</f>
        <v/>
      </c>
      <c r="Q559" s="251" t="str">
        <f t="shared" ref="Q559:Q582" si="88">IF($R$11&lt;=M559,IF($R$11&gt;=M558+0.01,X559,""),"")</f>
        <v/>
      </c>
      <c r="R559" s="251" t="str">
        <f t="shared" ref="R559:R582" si="89">IF($R$11&lt;=M559,IF($R$11&gt;=M558+0.01,Y559,""),"")</f>
        <v/>
      </c>
      <c r="S559" s="252" t="str">
        <f t="shared" ref="S559:S582" si="90">IF($R$11&lt;=M559,IF($R$11&gt;=M558+0.01,Z559,""),"")</f>
        <v/>
      </c>
      <c r="T559" s="253"/>
      <c r="U559" s="278">
        <v>5.6000000000000001E-2</v>
      </c>
      <c r="V559" s="278">
        <v>4.2999999999999997E-2</v>
      </c>
      <c r="W559" s="278">
        <v>3.5999999999999997E-2</v>
      </c>
      <c r="X559" s="278">
        <v>1.4999999999999999E-2</v>
      </c>
      <c r="Y559" s="278">
        <v>8.0000000000000002E-3</v>
      </c>
      <c r="Z559" s="278">
        <v>0</v>
      </c>
      <c r="AA559" s="249"/>
      <c r="AB559" s="279"/>
      <c r="AC559" s="279"/>
      <c r="AD559" s="279"/>
      <c r="AE559" s="279"/>
      <c r="AF559" s="279"/>
      <c r="AG559" s="279"/>
      <c r="AH559" s="249"/>
      <c r="AI559" s="249"/>
      <c r="AJ559" s="249"/>
      <c r="AK559" s="249"/>
      <c r="AL559" s="249"/>
      <c r="AM559" s="249"/>
      <c r="AN559" s="249"/>
      <c r="AO559" s="249"/>
    </row>
    <row r="560" spans="13:41" x14ac:dyDescent="0.35">
      <c r="M560" s="277">
        <v>2233</v>
      </c>
      <c r="N560" s="251" t="str">
        <f t="shared" si="85"/>
        <v/>
      </c>
      <c r="O560" s="251" t="str">
        <f t="shared" si="86"/>
        <v/>
      </c>
      <c r="P560" s="251" t="str">
        <f t="shared" si="87"/>
        <v/>
      </c>
      <c r="Q560" s="251" t="str">
        <f t="shared" si="88"/>
        <v/>
      </c>
      <c r="R560" s="251" t="str">
        <f t="shared" si="89"/>
        <v/>
      </c>
      <c r="S560" s="252" t="str">
        <f t="shared" si="90"/>
        <v/>
      </c>
      <c r="T560" s="253"/>
      <c r="U560" s="278">
        <v>6.9000000000000006E-2</v>
      </c>
      <c r="V560" s="278">
        <v>0.05</v>
      </c>
      <c r="W560" s="278">
        <v>4.2999999999999997E-2</v>
      </c>
      <c r="X560" s="278">
        <v>2.9000000000000001E-2</v>
      </c>
      <c r="Y560" s="278">
        <v>1.4999999999999999E-2</v>
      </c>
      <c r="Z560" s="278">
        <v>8.0000000000000002E-3</v>
      </c>
      <c r="AA560" s="249"/>
      <c r="AB560" s="279"/>
      <c r="AC560" s="279"/>
      <c r="AD560" s="279"/>
      <c r="AE560" s="279"/>
      <c r="AF560" s="279"/>
      <c r="AG560" s="279"/>
      <c r="AH560" s="249"/>
      <c r="AI560" s="249"/>
      <c r="AJ560" s="249"/>
      <c r="AK560" s="249"/>
      <c r="AL560" s="249"/>
      <c r="AM560" s="249"/>
      <c r="AN560" s="249"/>
      <c r="AO560" s="249"/>
    </row>
    <row r="561" spans="13:41" x14ac:dyDescent="0.35">
      <c r="M561" s="277">
        <v>2335</v>
      </c>
      <c r="N561" s="251" t="str">
        <f t="shared" si="85"/>
        <v/>
      </c>
      <c r="O561" s="251" t="str">
        <f t="shared" si="86"/>
        <v/>
      </c>
      <c r="P561" s="251" t="str">
        <f t="shared" si="87"/>
        <v/>
      </c>
      <c r="Q561" s="251" t="str">
        <f t="shared" si="88"/>
        <v/>
      </c>
      <c r="R561" s="251" t="str">
        <f t="shared" si="89"/>
        <v/>
      </c>
      <c r="S561" s="252" t="str">
        <f t="shared" si="90"/>
        <v/>
      </c>
      <c r="T561" s="253"/>
      <c r="U561" s="278">
        <v>8.5999999999999993E-2</v>
      </c>
      <c r="V561" s="278">
        <v>6.7000000000000004E-2</v>
      </c>
      <c r="W561" s="278">
        <v>5.2999999999999999E-2</v>
      </c>
      <c r="X561" s="278">
        <v>0.04</v>
      </c>
      <c r="Y561" s="278">
        <v>2.5999999999999999E-2</v>
      </c>
      <c r="Z561" s="278">
        <v>1.9E-2</v>
      </c>
      <c r="AA561" s="249"/>
      <c r="AB561" s="279"/>
      <c r="AC561" s="279"/>
      <c r="AD561" s="279"/>
      <c r="AE561" s="279"/>
      <c r="AF561" s="279"/>
      <c r="AG561" s="279"/>
      <c r="AH561" s="249"/>
      <c r="AI561" s="249"/>
      <c r="AJ561" s="249"/>
      <c r="AK561" s="249"/>
      <c r="AL561" s="249"/>
      <c r="AM561" s="249"/>
      <c r="AN561" s="249"/>
      <c r="AO561" s="249"/>
    </row>
    <row r="562" spans="13:41" x14ac:dyDescent="0.35">
      <c r="M562" s="277">
        <v>2502</v>
      </c>
      <c r="N562" s="251" t="str">
        <f t="shared" si="85"/>
        <v/>
      </c>
      <c r="O562" s="251" t="str">
        <f t="shared" si="86"/>
        <v/>
      </c>
      <c r="P562" s="251" t="str">
        <f t="shared" si="87"/>
        <v/>
      </c>
      <c r="Q562" s="251" t="str">
        <f t="shared" si="88"/>
        <v/>
      </c>
      <c r="R562" s="251" t="str">
        <f t="shared" si="89"/>
        <v/>
      </c>
      <c r="S562" s="252" t="str">
        <f t="shared" si="90"/>
        <v/>
      </c>
      <c r="T562" s="253"/>
      <c r="U562" s="278">
        <v>0.1</v>
      </c>
      <c r="V562" s="278">
        <v>8.1000000000000003E-2</v>
      </c>
      <c r="W562" s="278">
        <v>6.7000000000000004E-2</v>
      </c>
      <c r="X562" s="278">
        <v>5.2999999999999999E-2</v>
      </c>
      <c r="Y562" s="278">
        <v>4.1000000000000002E-2</v>
      </c>
      <c r="Z562" s="278">
        <v>2.5999999999999999E-2</v>
      </c>
      <c r="AA562" s="249"/>
      <c r="AB562" s="279"/>
      <c r="AC562" s="279"/>
      <c r="AD562" s="279"/>
      <c r="AE562" s="279"/>
      <c r="AF562" s="279"/>
      <c r="AG562" s="279"/>
      <c r="AH562" s="249"/>
      <c r="AI562" s="249"/>
      <c r="AJ562" s="249"/>
      <c r="AK562" s="249"/>
      <c r="AL562" s="249"/>
      <c r="AM562" s="249"/>
      <c r="AN562" s="249"/>
      <c r="AO562" s="249"/>
    </row>
    <row r="563" spans="13:41" x14ac:dyDescent="0.35">
      <c r="M563" s="277">
        <v>2585</v>
      </c>
      <c r="N563" s="251" t="str">
        <f t="shared" si="85"/>
        <v/>
      </c>
      <c r="O563" s="251" t="str">
        <f t="shared" si="86"/>
        <v/>
      </c>
      <c r="P563" s="251" t="str">
        <f t="shared" si="87"/>
        <v/>
      </c>
      <c r="Q563" s="251" t="str">
        <f t="shared" si="88"/>
        <v/>
      </c>
      <c r="R563" s="251" t="str">
        <f t="shared" si="89"/>
        <v/>
      </c>
      <c r="S563" s="252" t="str">
        <f t="shared" si="90"/>
        <v/>
      </c>
      <c r="T563" s="253"/>
      <c r="U563" s="278">
        <v>0.106</v>
      </c>
      <c r="V563" s="278">
        <v>9.4E-2</v>
      </c>
      <c r="W563" s="278">
        <v>8.1000000000000003E-2</v>
      </c>
      <c r="X563" s="278">
        <v>6.7000000000000004E-2</v>
      </c>
      <c r="Y563" s="278">
        <v>4.7E-2</v>
      </c>
      <c r="Z563" s="278">
        <v>4.1000000000000002E-2</v>
      </c>
      <c r="AA563" s="249"/>
      <c r="AB563" s="279"/>
      <c r="AC563" s="279"/>
      <c r="AD563" s="279"/>
      <c r="AE563" s="279"/>
      <c r="AF563" s="279"/>
      <c r="AG563" s="279"/>
      <c r="AH563" s="249"/>
      <c r="AI563" s="249"/>
      <c r="AJ563" s="249"/>
      <c r="AK563" s="249"/>
      <c r="AL563" s="249"/>
      <c r="AM563" s="249"/>
      <c r="AN563" s="249"/>
      <c r="AO563" s="249"/>
    </row>
    <row r="564" spans="13:41" x14ac:dyDescent="0.35">
      <c r="M564" s="277">
        <v>2687</v>
      </c>
      <c r="N564" s="251" t="str">
        <f t="shared" si="85"/>
        <v/>
      </c>
      <c r="O564" s="251" t="str">
        <f t="shared" si="86"/>
        <v/>
      </c>
      <c r="P564" s="251" t="str">
        <f t="shared" si="87"/>
        <v/>
      </c>
      <c r="Q564" s="251" t="str">
        <f t="shared" si="88"/>
        <v/>
      </c>
      <c r="R564" s="251" t="str">
        <f t="shared" si="89"/>
        <v/>
      </c>
      <c r="S564" s="252" t="str">
        <f t="shared" si="90"/>
        <v/>
      </c>
      <c r="T564" s="253"/>
      <c r="U564" s="278">
        <v>0.114</v>
      </c>
      <c r="V564" s="278">
        <v>0.10100000000000001</v>
      </c>
      <c r="W564" s="278">
        <v>8.6999999999999994E-2</v>
      </c>
      <c r="X564" s="278">
        <v>7.3999999999999996E-2</v>
      </c>
      <c r="Y564" s="278">
        <v>0.06</v>
      </c>
      <c r="Z564" s="278">
        <v>5.2999999999999999E-2</v>
      </c>
      <c r="AA564" s="249"/>
      <c r="AB564" s="279"/>
      <c r="AC564" s="279"/>
      <c r="AD564" s="279"/>
      <c r="AE564" s="279"/>
      <c r="AF564" s="279"/>
      <c r="AG564" s="279"/>
      <c r="AH564" s="249"/>
      <c r="AI564" s="249"/>
      <c r="AJ564" s="249"/>
      <c r="AK564" s="249"/>
      <c r="AL564" s="249"/>
      <c r="AM564" s="249"/>
      <c r="AN564" s="249"/>
      <c r="AO564" s="249"/>
    </row>
    <row r="565" spans="13:41" x14ac:dyDescent="0.35">
      <c r="M565" s="277">
        <v>2956</v>
      </c>
      <c r="N565" s="251" t="str">
        <f t="shared" si="85"/>
        <v/>
      </c>
      <c r="O565" s="251" t="str">
        <f t="shared" si="86"/>
        <v/>
      </c>
      <c r="P565" s="251" t="str">
        <f t="shared" si="87"/>
        <v/>
      </c>
      <c r="Q565" s="251" t="str">
        <f t="shared" si="88"/>
        <v/>
      </c>
      <c r="R565" s="251" t="str">
        <f t="shared" si="89"/>
        <v/>
      </c>
      <c r="S565" s="252" t="str">
        <f t="shared" si="90"/>
        <v/>
      </c>
      <c r="T565" s="253"/>
      <c r="U565" s="278">
        <v>0.12</v>
      </c>
      <c r="V565" s="278">
        <v>0.108</v>
      </c>
      <c r="W565" s="278">
        <v>9.4E-2</v>
      </c>
      <c r="X565" s="278">
        <v>8.1000000000000003E-2</v>
      </c>
      <c r="Y565" s="278">
        <v>7.3999999999999996E-2</v>
      </c>
      <c r="Z565" s="278">
        <v>6.7000000000000004E-2</v>
      </c>
      <c r="AA565" s="249"/>
      <c r="AB565" s="279"/>
      <c r="AC565" s="279"/>
      <c r="AD565" s="279"/>
      <c r="AE565" s="279"/>
      <c r="AF565" s="279"/>
      <c r="AG565" s="279"/>
      <c r="AH565" s="249"/>
      <c r="AI565" s="249"/>
      <c r="AJ565" s="249"/>
      <c r="AK565" s="249"/>
      <c r="AL565" s="249"/>
      <c r="AM565" s="249"/>
      <c r="AN565" s="249"/>
      <c r="AO565" s="249"/>
    </row>
    <row r="566" spans="13:41" x14ac:dyDescent="0.35">
      <c r="M566" s="277">
        <v>3277</v>
      </c>
      <c r="N566" s="251" t="str">
        <f t="shared" si="85"/>
        <v/>
      </c>
      <c r="O566" s="251" t="str">
        <f t="shared" si="86"/>
        <v/>
      </c>
      <c r="P566" s="251" t="str">
        <f t="shared" si="87"/>
        <v/>
      </c>
      <c r="Q566" s="251" t="str">
        <f t="shared" si="88"/>
        <v/>
      </c>
      <c r="R566" s="251" t="str">
        <f t="shared" si="89"/>
        <v/>
      </c>
      <c r="S566" s="252" t="str">
        <f t="shared" si="90"/>
        <v/>
      </c>
      <c r="T566" s="253"/>
      <c r="U566" s="278">
        <v>0.128</v>
      </c>
      <c r="V566" s="278">
        <v>0.11799999999999999</v>
      </c>
      <c r="W566" s="278">
        <v>0.107</v>
      </c>
      <c r="X566" s="278">
        <v>9.7000000000000003E-2</v>
      </c>
      <c r="Y566" s="278">
        <v>9.1999999999999998E-2</v>
      </c>
      <c r="Z566" s="278">
        <v>8.7999999999999995E-2</v>
      </c>
      <c r="AA566" s="249"/>
      <c r="AB566" s="279"/>
      <c r="AC566" s="279"/>
      <c r="AD566" s="279"/>
      <c r="AE566" s="279"/>
      <c r="AF566" s="279"/>
      <c r="AG566" s="279"/>
      <c r="AH566" s="249"/>
      <c r="AI566" s="249"/>
      <c r="AJ566" s="249"/>
      <c r="AK566" s="249"/>
      <c r="AL566" s="249"/>
      <c r="AM566" s="249"/>
      <c r="AN566" s="249"/>
      <c r="AO566" s="249"/>
    </row>
    <row r="567" spans="13:41" x14ac:dyDescent="0.35">
      <c r="M567" s="277">
        <v>3618</v>
      </c>
      <c r="N567" s="251" t="str">
        <f t="shared" si="85"/>
        <v/>
      </c>
      <c r="O567" s="251" t="str">
        <f t="shared" si="86"/>
        <v/>
      </c>
      <c r="P567" s="251" t="str">
        <f t="shared" si="87"/>
        <v/>
      </c>
      <c r="Q567" s="251" t="str">
        <f t="shared" si="88"/>
        <v/>
      </c>
      <c r="R567" s="251" t="str">
        <f t="shared" si="89"/>
        <v/>
      </c>
      <c r="S567" s="252" t="str">
        <f t="shared" si="90"/>
        <v/>
      </c>
      <c r="T567" s="253"/>
      <c r="U567" s="278">
        <v>0.13700000000000001</v>
      </c>
      <c r="V567" s="278">
        <v>0.126</v>
      </c>
      <c r="W567" s="278">
        <v>0.11600000000000001</v>
      </c>
      <c r="X567" s="278">
        <v>0.104</v>
      </c>
      <c r="Y567" s="278">
        <v>0.1</v>
      </c>
      <c r="Z567" s="278">
        <v>9.6000000000000002E-2</v>
      </c>
      <c r="AA567" s="249"/>
      <c r="AB567" s="279"/>
      <c r="AC567" s="279"/>
      <c r="AD567" s="279"/>
      <c r="AE567" s="279"/>
      <c r="AF567" s="279"/>
      <c r="AG567" s="279"/>
      <c r="AH567" s="249"/>
      <c r="AI567" s="249"/>
      <c r="AJ567" s="249"/>
      <c r="AK567" s="249"/>
      <c r="AL567" s="249"/>
      <c r="AM567" s="249"/>
      <c r="AN567" s="249"/>
      <c r="AO567" s="249"/>
    </row>
    <row r="568" spans="13:41" x14ac:dyDescent="0.35">
      <c r="M568" s="277">
        <v>3752</v>
      </c>
      <c r="N568" s="251" t="str">
        <f t="shared" si="85"/>
        <v/>
      </c>
      <c r="O568" s="251" t="str">
        <f t="shared" si="86"/>
        <v/>
      </c>
      <c r="P568" s="251" t="str">
        <f t="shared" si="87"/>
        <v/>
      </c>
      <c r="Q568" s="251" t="str">
        <f t="shared" si="88"/>
        <v/>
      </c>
      <c r="R568" s="251" t="str">
        <f t="shared" si="89"/>
        <v/>
      </c>
      <c r="S568" s="252" t="str">
        <f t="shared" si="90"/>
        <v/>
      </c>
      <c r="T568" s="253"/>
      <c r="U568" s="278">
        <v>0.14399999999999999</v>
      </c>
      <c r="V568" s="278">
        <v>0.13400000000000001</v>
      </c>
      <c r="W568" s="278">
        <v>0.129</v>
      </c>
      <c r="X568" s="278">
        <v>0.111</v>
      </c>
      <c r="Y568" s="278">
        <v>0.107</v>
      </c>
      <c r="Z568" s="278">
        <v>0.10299999999999999</v>
      </c>
      <c r="AA568" s="249"/>
      <c r="AB568" s="279"/>
      <c r="AC568" s="279"/>
      <c r="AD568" s="279"/>
      <c r="AE568" s="279"/>
      <c r="AF568" s="279"/>
      <c r="AG568" s="279"/>
      <c r="AH568" s="249"/>
      <c r="AI568" s="249"/>
      <c r="AJ568" s="249"/>
      <c r="AK568" s="249"/>
      <c r="AL568" s="249"/>
      <c r="AM568" s="249"/>
      <c r="AN568" s="249"/>
      <c r="AO568" s="249"/>
    </row>
    <row r="569" spans="13:41" x14ac:dyDescent="0.35">
      <c r="M569" s="277">
        <v>3969</v>
      </c>
      <c r="N569" s="251" t="str">
        <f t="shared" si="85"/>
        <v/>
      </c>
      <c r="O569" s="251" t="str">
        <f t="shared" si="86"/>
        <v/>
      </c>
      <c r="P569" s="251" t="str">
        <f t="shared" si="87"/>
        <v/>
      </c>
      <c r="Q569" s="251" t="str">
        <f t="shared" si="88"/>
        <v/>
      </c>
      <c r="R569" s="251" t="str">
        <f t="shared" si="89"/>
        <v/>
      </c>
      <c r="S569" s="252" t="str">
        <f t="shared" si="90"/>
        <v/>
      </c>
      <c r="T569" s="253"/>
      <c r="U569" s="278">
        <v>0.151</v>
      </c>
      <c r="V569" s="278">
        <v>0.14099999999999999</v>
      </c>
      <c r="W569" s="278">
        <v>0.13700000000000001</v>
      </c>
      <c r="X569" s="278">
        <v>0.11799999999999999</v>
      </c>
      <c r="Y569" s="278">
        <v>0.114</v>
      </c>
      <c r="Z569" s="278">
        <v>0.11</v>
      </c>
      <c r="AA569" s="249"/>
      <c r="AB569" s="279"/>
      <c r="AC569" s="279"/>
      <c r="AD569" s="279"/>
      <c r="AE569" s="279"/>
      <c r="AF569" s="279"/>
      <c r="AG569" s="279"/>
      <c r="AH569" s="249"/>
      <c r="AI569" s="249"/>
      <c r="AJ569" s="249"/>
      <c r="AK569" s="249"/>
      <c r="AL569" s="249"/>
      <c r="AM569" s="249"/>
      <c r="AN569" s="249"/>
      <c r="AO569" s="249"/>
    </row>
    <row r="570" spans="13:41" x14ac:dyDescent="0.35">
      <c r="M570" s="277">
        <v>4393</v>
      </c>
      <c r="N570" s="251" t="str">
        <f t="shared" si="85"/>
        <v/>
      </c>
      <c r="O570" s="251" t="str">
        <f t="shared" si="86"/>
        <v/>
      </c>
      <c r="P570" s="251" t="str">
        <f t="shared" si="87"/>
        <v/>
      </c>
      <c r="Q570" s="251" t="str">
        <f t="shared" si="88"/>
        <v/>
      </c>
      <c r="R570" s="251" t="str">
        <f t="shared" si="89"/>
        <v/>
      </c>
      <c r="S570" s="252" t="str">
        <f t="shared" si="90"/>
        <v/>
      </c>
      <c r="T570" s="253"/>
      <c r="U570" s="278">
        <v>0.16400000000000001</v>
      </c>
      <c r="V570" s="278">
        <v>0.155</v>
      </c>
      <c r="W570" s="278">
        <v>0.151</v>
      </c>
      <c r="X570" s="278">
        <v>0.13300000000000001</v>
      </c>
      <c r="Y570" s="278">
        <v>0.127</v>
      </c>
      <c r="Z570" s="278">
        <v>0.123</v>
      </c>
      <c r="AA570" s="249"/>
      <c r="AB570" s="279"/>
      <c r="AC570" s="279"/>
      <c r="AD570" s="279"/>
      <c r="AE570" s="279"/>
      <c r="AF570" s="279"/>
      <c r="AG570" s="279"/>
      <c r="AH570" s="249"/>
      <c r="AI570" s="249"/>
      <c r="AJ570" s="249"/>
      <c r="AK570" s="249"/>
      <c r="AL570" s="249"/>
      <c r="AM570" s="249"/>
      <c r="AN570" s="249"/>
      <c r="AO570" s="249"/>
    </row>
    <row r="571" spans="13:41" x14ac:dyDescent="0.35">
      <c r="M571" s="277">
        <v>4662</v>
      </c>
      <c r="N571" s="251" t="str">
        <f t="shared" si="85"/>
        <v/>
      </c>
      <c r="O571" s="251" t="str">
        <f t="shared" si="86"/>
        <v/>
      </c>
      <c r="P571" s="251" t="str">
        <f t="shared" si="87"/>
        <v/>
      </c>
      <c r="Q571" s="251" t="str">
        <f t="shared" si="88"/>
        <v/>
      </c>
      <c r="R571" s="251" t="str">
        <f t="shared" si="89"/>
        <v/>
      </c>
      <c r="S571" s="252" t="str">
        <f t="shared" si="90"/>
        <v/>
      </c>
      <c r="T571" s="253"/>
      <c r="U571" s="278">
        <v>0.17100000000000001</v>
      </c>
      <c r="V571" s="278">
        <v>0.16200000000000001</v>
      </c>
      <c r="W571" s="278">
        <v>0.158</v>
      </c>
      <c r="X571" s="278">
        <v>0.14000000000000001</v>
      </c>
      <c r="Y571" s="278">
        <v>0.13600000000000001</v>
      </c>
      <c r="Z571" s="278">
        <v>0.13</v>
      </c>
      <c r="AA571" s="249"/>
      <c r="AB571" s="279"/>
      <c r="AC571" s="279"/>
      <c r="AD571" s="279"/>
      <c r="AE571" s="279"/>
      <c r="AF571" s="279"/>
      <c r="AG571" s="279"/>
      <c r="AH571" s="249"/>
      <c r="AI571" s="249"/>
      <c r="AJ571" s="249"/>
      <c r="AK571" s="249"/>
      <c r="AL571" s="249"/>
      <c r="AM571" s="249"/>
      <c r="AN571" s="249"/>
      <c r="AO571" s="249"/>
    </row>
    <row r="572" spans="13:41" x14ac:dyDescent="0.35">
      <c r="M572" s="277">
        <v>4961</v>
      </c>
      <c r="N572" s="251" t="str">
        <f t="shared" si="85"/>
        <v/>
      </c>
      <c r="O572" s="251" t="str">
        <f t="shared" si="86"/>
        <v/>
      </c>
      <c r="P572" s="251" t="str">
        <f t="shared" si="87"/>
        <v/>
      </c>
      <c r="Q572" s="251" t="str">
        <f t="shared" si="88"/>
        <v/>
      </c>
      <c r="R572" s="251" t="str">
        <f t="shared" si="89"/>
        <v/>
      </c>
      <c r="S572" s="252" t="str">
        <f t="shared" si="90"/>
        <v/>
      </c>
      <c r="T572" s="253"/>
      <c r="U572" s="278">
        <v>0.17799999999999999</v>
      </c>
      <c r="V572" s="278">
        <v>0.16900000000000001</v>
      </c>
      <c r="W572" s="278">
        <v>0.16500000000000001</v>
      </c>
      <c r="X572" s="278">
        <v>0.14699999999999999</v>
      </c>
      <c r="Y572" s="278">
        <v>0.14299999999999999</v>
      </c>
      <c r="Z572" s="278">
        <v>0.13900000000000001</v>
      </c>
      <c r="AA572" s="249"/>
      <c r="AB572" s="279"/>
      <c r="AC572" s="279"/>
      <c r="AD572" s="279"/>
      <c r="AE572" s="279"/>
      <c r="AF572" s="279"/>
      <c r="AG572" s="279"/>
      <c r="AH572" s="249"/>
      <c r="AI572" s="249"/>
      <c r="AJ572" s="249"/>
      <c r="AK572" s="249"/>
      <c r="AL572" s="249"/>
      <c r="AM572" s="249"/>
      <c r="AN572" s="249"/>
      <c r="AO572" s="249"/>
    </row>
    <row r="573" spans="13:41" x14ac:dyDescent="0.35">
      <c r="M573" s="277">
        <v>5251</v>
      </c>
      <c r="N573" s="251" t="str">
        <f t="shared" si="85"/>
        <v/>
      </c>
      <c r="O573" s="251" t="str">
        <f t="shared" si="86"/>
        <v/>
      </c>
      <c r="P573" s="251" t="str">
        <f t="shared" si="87"/>
        <v/>
      </c>
      <c r="Q573" s="251" t="str">
        <f t="shared" si="88"/>
        <v/>
      </c>
      <c r="R573" s="251" t="str">
        <f t="shared" si="89"/>
        <v/>
      </c>
      <c r="S573" s="252" t="str">
        <f t="shared" si="90"/>
        <v/>
      </c>
      <c r="T573" s="253"/>
      <c r="U573" s="278">
        <v>0.185</v>
      </c>
      <c r="V573" s="278">
        <v>0.17599999999999999</v>
      </c>
      <c r="W573" s="278">
        <v>0.17199999999999999</v>
      </c>
      <c r="X573" s="278">
        <v>0.154</v>
      </c>
      <c r="Y573" s="278">
        <v>0.15</v>
      </c>
      <c r="Z573" s="278">
        <v>0.14599999999999999</v>
      </c>
      <c r="AA573" s="249"/>
      <c r="AB573" s="279"/>
      <c r="AC573" s="279"/>
      <c r="AD573" s="279"/>
      <c r="AE573" s="279"/>
      <c r="AF573" s="279"/>
      <c r="AG573" s="279"/>
      <c r="AH573" s="249"/>
      <c r="AI573" s="249"/>
      <c r="AJ573" s="249"/>
      <c r="AK573" s="249"/>
      <c r="AL573" s="249"/>
      <c r="AM573" s="249"/>
      <c r="AN573" s="249"/>
      <c r="AO573" s="249"/>
    </row>
    <row r="574" spans="13:41" x14ac:dyDescent="0.35">
      <c r="M574" s="277">
        <v>5685</v>
      </c>
      <c r="N574" s="251" t="str">
        <f t="shared" si="85"/>
        <v/>
      </c>
      <c r="O574" s="251" t="str">
        <f t="shared" si="86"/>
        <v/>
      </c>
      <c r="P574" s="251" t="str">
        <f t="shared" si="87"/>
        <v/>
      </c>
      <c r="Q574" s="251" t="str">
        <f t="shared" si="88"/>
        <v/>
      </c>
      <c r="R574" s="251" t="str">
        <f t="shared" si="89"/>
        <v/>
      </c>
      <c r="S574" s="252" t="str">
        <f t="shared" si="90"/>
        <v/>
      </c>
      <c r="T574" s="253"/>
      <c r="U574" s="278">
        <v>0.191</v>
      </c>
      <c r="V574" s="278">
        <v>0.183</v>
      </c>
      <c r="W574" s="278">
        <v>0.17899999999999999</v>
      </c>
      <c r="X574" s="278">
        <v>0.16700000000000001</v>
      </c>
      <c r="Y574" s="278">
        <v>0.156</v>
      </c>
      <c r="Z574" s="278">
        <v>0.153</v>
      </c>
      <c r="AA574" s="249"/>
      <c r="AB574" s="279"/>
      <c r="AC574" s="279"/>
      <c r="AD574" s="279"/>
      <c r="AE574" s="279"/>
      <c r="AF574" s="279"/>
      <c r="AG574" s="279"/>
      <c r="AH574" s="249"/>
      <c r="AI574" s="249"/>
      <c r="AJ574" s="249"/>
      <c r="AK574" s="249"/>
      <c r="AL574" s="249"/>
      <c r="AM574" s="249"/>
      <c r="AN574" s="249"/>
      <c r="AO574" s="249"/>
    </row>
    <row r="575" spans="13:41" x14ac:dyDescent="0.35">
      <c r="M575" s="277">
        <v>6119</v>
      </c>
      <c r="N575" s="251" t="str">
        <f t="shared" si="85"/>
        <v/>
      </c>
      <c r="O575" s="251" t="str">
        <f t="shared" si="86"/>
        <v/>
      </c>
      <c r="P575" s="251" t="str">
        <f t="shared" si="87"/>
        <v/>
      </c>
      <c r="Q575" s="251" t="str">
        <f t="shared" si="88"/>
        <v/>
      </c>
      <c r="R575" s="251" t="str">
        <f t="shared" si="89"/>
        <v/>
      </c>
      <c r="S575" s="252" t="str">
        <f t="shared" si="90"/>
        <v/>
      </c>
      <c r="T575" s="253"/>
      <c r="U575" s="278">
        <v>0.20200000000000001</v>
      </c>
      <c r="V575" s="278">
        <v>0.193</v>
      </c>
      <c r="W575" s="278">
        <v>0.189</v>
      </c>
      <c r="X575" s="278">
        <v>0.17799999999999999</v>
      </c>
      <c r="Y575" s="278">
        <v>0.16700000000000001</v>
      </c>
      <c r="Z575" s="278">
        <v>0.16200000000000001</v>
      </c>
      <c r="AA575" s="249"/>
      <c r="AB575" s="279"/>
      <c r="AC575" s="279"/>
      <c r="AD575" s="279"/>
      <c r="AE575" s="279"/>
      <c r="AF575" s="279"/>
      <c r="AG575" s="279"/>
      <c r="AH575" s="249"/>
      <c r="AI575" s="249"/>
      <c r="AJ575" s="249"/>
      <c r="AK575" s="249"/>
      <c r="AL575" s="249"/>
      <c r="AM575" s="249"/>
      <c r="AN575" s="249"/>
      <c r="AO575" s="249"/>
    </row>
    <row r="576" spans="13:41" x14ac:dyDescent="0.35">
      <c r="M576" s="277">
        <v>6829</v>
      </c>
      <c r="N576" s="251" t="str">
        <f t="shared" si="85"/>
        <v/>
      </c>
      <c r="O576" s="251" t="str">
        <f t="shared" si="86"/>
        <v/>
      </c>
      <c r="P576" s="251" t="str">
        <f t="shared" si="87"/>
        <v/>
      </c>
      <c r="Q576" s="251" t="str">
        <f t="shared" si="88"/>
        <v/>
      </c>
      <c r="R576" s="251" t="str">
        <f t="shared" si="89"/>
        <v/>
      </c>
      <c r="S576" s="252" t="str">
        <f t="shared" si="90"/>
        <v/>
      </c>
      <c r="T576" s="253"/>
      <c r="U576" s="278">
        <v>0.20799999999999999</v>
      </c>
      <c r="V576" s="278">
        <v>0.20100000000000001</v>
      </c>
      <c r="W576" s="278">
        <v>0.19800000000000001</v>
      </c>
      <c r="X576" s="278">
        <v>0.189</v>
      </c>
      <c r="Y576" s="278">
        <v>0.17899999999999999</v>
      </c>
      <c r="Z576" s="278">
        <v>0.17599999999999999</v>
      </c>
      <c r="AA576" s="249"/>
      <c r="AB576" s="279"/>
      <c r="AC576" s="279"/>
      <c r="AD576" s="279"/>
      <c r="AE576" s="279"/>
      <c r="AF576" s="279"/>
      <c r="AG576" s="279"/>
      <c r="AH576" s="249"/>
      <c r="AI576" s="249"/>
      <c r="AJ576" s="249"/>
      <c r="AK576" s="249"/>
      <c r="AL576" s="249"/>
      <c r="AM576" s="249"/>
      <c r="AN576" s="249"/>
      <c r="AO576" s="249"/>
    </row>
    <row r="577" spans="13:41" x14ac:dyDescent="0.35">
      <c r="M577" s="277">
        <v>7302</v>
      </c>
      <c r="N577" s="251" t="str">
        <f t="shared" si="85"/>
        <v/>
      </c>
      <c r="O577" s="251" t="str">
        <f t="shared" si="86"/>
        <v/>
      </c>
      <c r="P577" s="251" t="str">
        <f t="shared" si="87"/>
        <v/>
      </c>
      <c r="Q577" s="251" t="str">
        <f t="shared" si="88"/>
        <v/>
      </c>
      <c r="R577" s="251" t="str">
        <f t="shared" si="89"/>
        <v/>
      </c>
      <c r="S577" s="252" t="str">
        <f t="shared" si="90"/>
        <v/>
      </c>
      <c r="T577" s="253"/>
      <c r="U577" s="278">
        <v>0.215</v>
      </c>
      <c r="V577" s="278">
        <v>0.20899999999999999</v>
      </c>
      <c r="W577" s="278">
        <v>0.20499999999999999</v>
      </c>
      <c r="X577" s="278">
        <v>0.19500000000000001</v>
      </c>
      <c r="Y577" s="278">
        <v>0.186</v>
      </c>
      <c r="Z577" s="278">
        <v>0.183</v>
      </c>
      <c r="AA577" s="249"/>
      <c r="AB577" s="279"/>
      <c r="AC577" s="279"/>
      <c r="AD577" s="279"/>
      <c r="AE577" s="279"/>
      <c r="AF577" s="279"/>
      <c r="AG577" s="279"/>
      <c r="AH577" s="249"/>
      <c r="AI577" s="249"/>
      <c r="AJ577" s="249"/>
      <c r="AK577" s="249"/>
      <c r="AL577" s="249"/>
      <c r="AM577" s="249"/>
      <c r="AN577" s="249"/>
      <c r="AO577" s="249"/>
    </row>
    <row r="578" spans="13:41" x14ac:dyDescent="0.35">
      <c r="M578" s="277">
        <v>7888</v>
      </c>
      <c r="N578" s="251" t="str">
        <f t="shared" si="85"/>
        <v/>
      </c>
      <c r="O578" s="251" t="str">
        <f t="shared" si="86"/>
        <v/>
      </c>
      <c r="P578" s="251" t="str">
        <f t="shared" si="87"/>
        <v/>
      </c>
      <c r="Q578" s="251" t="str">
        <f t="shared" si="88"/>
        <v/>
      </c>
      <c r="R578" s="251" t="str">
        <f t="shared" si="89"/>
        <v/>
      </c>
      <c r="S578" s="252" t="str">
        <f t="shared" si="90"/>
        <v/>
      </c>
      <c r="T578" s="253"/>
      <c r="U578" s="278">
        <v>0.222</v>
      </c>
      <c r="V578" s="278">
        <v>0.216</v>
      </c>
      <c r="W578" s="278">
        <v>0.21299999999999999</v>
      </c>
      <c r="X578" s="278">
        <v>0.20200000000000001</v>
      </c>
      <c r="Y578" s="278">
        <v>0.2</v>
      </c>
      <c r="Z578" s="278">
        <v>0.19</v>
      </c>
      <c r="AA578" s="249"/>
      <c r="AB578" s="279"/>
      <c r="AC578" s="279"/>
      <c r="AD578" s="279"/>
      <c r="AE578" s="279"/>
      <c r="AF578" s="279"/>
      <c r="AG578" s="279"/>
      <c r="AH578" s="249"/>
      <c r="AI578" s="249"/>
      <c r="AJ578" s="249"/>
      <c r="AK578" s="249"/>
      <c r="AL578" s="249"/>
      <c r="AM578" s="249"/>
      <c r="AN578" s="249"/>
      <c r="AO578" s="249"/>
    </row>
    <row r="579" spans="13:41" x14ac:dyDescent="0.35">
      <c r="M579" s="277">
        <v>8577</v>
      </c>
      <c r="N579" s="251" t="str">
        <f t="shared" si="85"/>
        <v/>
      </c>
      <c r="O579" s="251" t="str">
        <f t="shared" si="86"/>
        <v/>
      </c>
      <c r="P579" s="251" t="str">
        <f t="shared" si="87"/>
        <v/>
      </c>
      <c r="Q579" s="251" t="str">
        <f t="shared" si="88"/>
        <v/>
      </c>
      <c r="R579" s="251" t="str">
        <f t="shared" si="89"/>
        <v/>
      </c>
      <c r="S579" s="252" t="str">
        <f t="shared" si="90"/>
        <v/>
      </c>
      <c r="T579" s="253"/>
      <c r="U579" s="278">
        <v>0.22800000000000001</v>
      </c>
      <c r="V579" s="278">
        <v>0.223</v>
      </c>
      <c r="W579" s="278">
        <v>0.22</v>
      </c>
      <c r="X579" s="278">
        <v>0.21</v>
      </c>
      <c r="Y579" s="278">
        <v>0.20300000000000001</v>
      </c>
      <c r="Z579" s="278">
        <v>0.19700000000000001</v>
      </c>
      <c r="AA579" s="249"/>
      <c r="AB579" s="279"/>
      <c r="AC579" s="279"/>
      <c r="AD579" s="279"/>
      <c r="AE579" s="279"/>
      <c r="AF579" s="279"/>
      <c r="AG579" s="279"/>
      <c r="AH579" s="249"/>
      <c r="AI579" s="249"/>
      <c r="AJ579" s="249"/>
      <c r="AK579" s="249"/>
      <c r="AL579" s="249"/>
      <c r="AM579" s="249"/>
      <c r="AN579" s="249"/>
      <c r="AO579" s="249"/>
    </row>
    <row r="580" spans="13:41" x14ac:dyDescent="0.35">
      <c r="M580" s="277">
        <v>9368</v>
      </c>
      <c r="N580" s="251" t="str">
        <f t="shared" si="85"/>
        <v/>
      </c>
      <c r="O580" s="251" t="str">
        <f t="shared" si="86"/>
        <v/>
      </c>
      <c r="P580" s="251" t="str">
        <f t="shared" si="87"/>
        <v/>
      </c>
      <c r="Q580" s="251" t="str">
        <f t="shared" si="88"/>
        <v/>
      </c>
      <c r="R580" s="251" t="str">
        <f t="shared" si="89"/>
        <v/>
      </c>
      <c r="S580" s="252" t="str">
        <f t="shared" si="90"/>
        <v/>
      </c>
      <c r="T580" s="253"/>
      <c r="U580" s="278">
        <v>0.23499999999999999</v>
      </c>
      <c r="V580" s="278">
        <v>0.22900000000000001</v>
      </c>
      <c r="W580" s="278">
        <v>0.22600000000000001</v>
      </c>
      <c r="X580" s="278">
        <v>0.217</v>
      </c>
      <c r="Y580" s="278">
        <v>0.20699999999999999</v>
      </c>
      <c r="Z580" s="278">
        <v>0.20399999999999999</v>
      </c>
      <c r="AA580" s="249"/>
      <c r="AB580" s="279"/>
      <c r="AC580" s="279"/>
      <c r="AD580" s="279"/>
      <c r="AE580" s="279"/>
      <c r="AF580" s="279"/>
      <c r="AG580" s="279"/>
      <c r="AH580" s="249"/>
      <c r="AI580" s="249"/>
      <c r="AJ580" s="249"/>
      <c r="AK580" s="249"/>
      <c r="AL580" s="249"/>
      <c r="AM580" s="249"/>
      <c r="AN580" s="249"/>
      <c r="AO580" s="249"/>
    </row>
    <row r="581" spans="13:41" x14ac:dyDescent="0.35">
      <c r="M581" s="277">
        <v>10109</v>
      </c>
      <c r="N581" s="251" t="str">
        <f t="shared" si="85"/>
        <v/>
      </c>
      <c r="O581" s="251" t="str">
        <f t="shared" si="86"/>
        <v/>
      </c>
      <c r="P581" s="251" t="str">
        <f t="shared" si="87"/>
        <v/>
      </c>
      <c r="Q581" s="251" t="str">
        <f t="shared" si="88"/>
        <v/>
      </c>
      <c r="R581" s="251" t="str">
        <f t="shared" si="89"/>
        <v/>
      </c>
      <c r="S581" s="252" t="str">
        <f t="shared" si="90"/>
        <v/>
      </c>
      <c r="T581" s="253"/>
      <c r="U581" s="278">
        <v>0.246</v>
      </c>
      <c r="V581" s="278">
        <v>0.23899999999999999</v>
      </c>
      <c r="W581" s="278">
        <v>0.23699999999999999</v>
      </c>
      <c r="X581" s="278">
        <v>0.22700000000000001</v>
      </c>
      <c r="Y581" s="278">
        <v>0.224</v>
      </c>
      <c r="Z581" s="278">
        <v>0.215</v>
      </c>
      <c r="AA581" s="249"/>
      <c r="AB581" s="279"/>
      <c r="AC581" s="279"/>
      <c r="AD581" s="279"/>
      <c r="AE581" s="279"/>
      <c r="AF581" s="279"/>
      <c r="AG581" s="279"/>
      <c r="AH581" s="249"/>
      <c r="AI581" s="249"/>
      <c r="AJ581" s="249"/>
      <c r="AK581" s="249"/>
      <c r="AL581" s="249"/>
      <c r="AM581" s="249"/>
      <c r="AN581" s="249"/>
      <c r="AO581" s="249"/>
    </row>
    <row r="582" spans="13:41" x14ac:dyDescent="0.35">
      <c r="M582" s="277">
        <v>12648</v>
      </c>
      <c r="N582" s="251" t="str">
        <f t="shared" si="85"/>
        <v/>
      </c>
      <c r="O582" s="251" t="str">
        <f t="shared" si="86"/>
        <v/>
      </c>
      <c r="P582" s="251" t="str">
        <f t="shared" si="87"/>
        <v/>
      </c>
      <c r="Q582" s="251" t="str">
        <f t="shared" si="88"/>
        <v/>
      </c>
      <c r="R582" s="251" t="str">
        <f t="shared" si="89"/>
        <v/>
      </c>
      <c r="S582" s="252" t="str">
        <f t="shared" si="90"/>
        <v/>
      </c>
      <c r="T582" s="253"/>
      <c r="U582" s="278">
        <v>0.253</v>
      </c>
      <c r="V582" s="278">
        <v>0.246</v>
      </c>
      <c r="W582" s="278">
        <v>0.24399999999999999</v>
      </c>
      <c r="X582" s="278">
        <v>0.23400000000000001</v>
      </c>
      <c r="Y582" s="278">
        <v>0.23100000000000001</v>
      </c>
      <c r="Z582" s="278">
        <v>0.222</v>
      </c>
      <c r="AA582" s="249"/>
      <c r="AB582" s="279"/>
      <c r="AC582" s="279"/>
      <c r="AD582" s="279"/>
      <c r="AE582" s="279"/>
      <c r="AF582" s="279"/>
      <c r="AG582" s="279"/>
      <c r="AH582" s="249"/>
      <c r="AI582" s="249"/>
      <c r="AJ582" s="249"/>
      <c r="AK582" s="249"/>
      <c r="AL582" s="249"/>
      <c r="AM582" s="249"/>
      <c r="AN582" s="249"/>
      <c r="AO582" s="249"/>
    </row>
    <row r="583" spans="13:41" x14ac:dyDescent="0.35">
      <c r="M583" s="277">
        <v>12648</v>
      </c>
      <c r="N583" s="251" t="str">
        <f>IF($R$11&gt;=M582+0.01,U583,"")</f>
        <v/>
      </c>
      <c r="O583" s="251" t="str">
        <f>IF($R$11&gt;=M582,V583,"")</f>
        <v/>
      </c>
      <c r="P583" s="251" t="str">
        <f>IF($R$11&gt;=M582,W583,"")</f>
        <v/>
      </c>
      <c r="Q583" s="251" t="str">
        <f>IF($R$11&gt;=M582,X583,"")</f>
        <v/>
      </c>
      <c r="R583" s="252" t="str">
        <f>IF($R$11&gt;=M582,Y583,"")</f>
        <v/>
      </c>
      <c r="S583" s="251" t="str">
        <f>IF($R$11&gt;=M582,Z583,"")</f>
        <v/>
      </c>
      <c r="T583" s="253"/>
      <c r="U583" s="278">
        <v>0.25900000000000001</v>
      </c>
      <c r="V583" s="278">
        <v>0.253</v>
      </c>
      <c r="W583" s="278">
        <v>0.251</v>
      </c>
      <c r="X583" s="278">
        <v>0.24099999999999999</v>
      </c>
      <c r="Y583" s="278">
        <v>0.23799999999999999</v>
      </c>
      <c r="Z583" s="278">
        <v>0.22800000000000001</v>
      </c>
      <c r="AA583" s="249"/>
      <c r="AB583" s="279"/>
      <c r="AC583" s="279"/>
      <c r="AD583" s="279"/>
      <c r="AE583" s="279"/>
      <c r="AF583" s="279"/>
      <c r="AG583" s="279"/>
      <c r="AH583" s="249"/>
      <c r="AI583" s="249"/>
      <c r="AJ583" s="249"/>
      <c r="AK583" s="249"/>
      <c r="AL583" s="249"/>
      <c r="AM583" s="249"/>
      <c r="AN583" s="249"/>
      <c r="AO583" s="249"/>
    </row>
    <row r="584" spans="13:41" x14ac:dyDescent="0.35">
      <c r="M584" s="249"/>
      <c r="N584" s="280" t="str">
        <f>IF($A$15=2,IF($A$2=4,IF($I$2=0,SUM(N554:N583),""),""),"")</f>
        <v/>
      </c>
      <c r="O584" s="281" t="str">
        <f>IF($A$15=2,IF($A$2=4,IF($I$2=1,SUM(O554:O583),""),""),"")</f>
        <v/>
      </c>
      <c r="P584" s="281" t="str">
        <f>IF($A$15=2,IF($A$2=4,IF($I$2=2,SUM(P554:P583),""),""),"")</f>
        <v/>
      </c>
      <c r="Q584" s="281" t="str">
        <f>IF($A$15=2,IF($A$2=4,IF($I$2=3,SUM(Q554:Q583),""),""),"")</f>
        <v/>
      </c>
      <c r="R584" s="281" t="str">
        <f>IF($A$15=2,IF($A$2=4,IF($I$2=4,SUM(R554:R583),""),""),"")</f>
        <v/>
      </c>
      <c r="S584" s="282" t="str">
        <f>IF($A$15=2,IF($A$2=4,IF($I$2=5,SUM(S554:S583),""),""),"")</f>
        <v/>
      </c>
      <c r="T584" s="260">
        <f>SUM(N584:S584)</f>
        <v>0</v>
      </c>
      <c r="U584" s="253"/>
      <c r="V584" s="253"/>
      <c r="W584" s="253"/>
      <c r="X584" s="253"/>
      <c r="Y584" s="253"/>
      <c r="Z584" s="253"/>
      <c r="AA584" s="249"/>
      <c r="AB584" s="279"/>
      <c r="AC584" s="279"/>
      <c r="AD584" s="279"/>
      <c r="AE584" s="279"/>
      <c r="AF584" s="279"/>
      <c r="AG584" s="279"/>
      <c r="AH584" s="249"/>
      <c r="AI584" s="249"/>
      <c r="AJ584" s="249"/>
      <c r="AK584" s="249"/>
      <c r="AL584" s="249"/>
      <c r="AM584" s="249"/>
      <c r="AN584" s="249"/>
      <c r="AO584" s="249"/>
    </row>
    <row r="585" spans="13:41" x14ac:dyDescent="0.35">
      <c r="M585" s="249"/>
      <c r="N585" s="249"/>
      <c r="O585" s="249"/>
      <c r="P585" s="249"/>
      <c r="Q585" s="249"/>
      <c r="R585" s="249"/>
      <c r="S585" s="249"/>
      <c r="T585" s="253"/>
      <c r="U585" s="253"/>
      <c r="V585" s="253"/>
      <c r="W585" s="253"/>
      <c r="X585" s="253"/>
      <c r="Y585" s="253"/>
      <c r="Z585" s="253"/>
      <c r="AA585" s="249"/>
      <c r="AB585" s="249"/>
      <c r="AC585" s="249"/>
      <c r="AD585" s="249"/>
      <c r="AE585" s="249"/>
      <c r="AF585" s="249"/>
      <c r="AG585" s="249"/>
      <c r="AH585" s="249"/>
      <c r="AI585" s="249"/>
      <c r="AJ585" s="249"/>
      <c r="AK585" s="249"/>
      <c r="AL585" s="249"/>
      <c r="AM585" s="249"/>
      <c r="AN585" s="249"/>
      <c r="AO585" s="249"/>
    </row>
    <row r="586" spans="13:41" x14ac:dyDescent="0.35">
      <c r="M586" s="249"/>
      <c r="N586" s="249"/>
      <c r="O586" s="249"/>
      <c r="P586" s="249"/>
      <c r="Q586" s="249"/>
      <c r="R586" s="249"/>
      <c r="S586" s="249"/>
      <c r="T586" s="253"/>
      <c r="U586" s="253"/>
      <c r="V586" s="253"/>
      <c r="W586" s="253"/>
      <c r="X586" s="253"/>
      <c r="Y586" s="253"/>
      <c r="Z586" s="253"/>
      <c r="AA586" s="249"/>
      <c r="AB586" s="249"/>
      <c r="AC586" s="249"/>
      <c r="AD586" s="249"/>
      <c r="AE586" s="249"/>
      <c r="AF586" s="249"/>
      <c r="AG586" s="249"/>
      <c r="AH586" s="249"/>
      <c r="AI586" s="249"/>
      <c r="AJ586" s="249"/>
      <c r="AK586" s="249"/>
      <c r="AL586" s="249"/>
      <c r="AM586" s="249"/>
      <c r="AN586" s="249"/>
      <c r="AO586" s="249"/>
    </row>
    <row r="587" spans="13:41" x14ac:dyDescent="0.35">
      <c r="M587" s="249"/>
      <c r="N587" s="249"/>
      <c r="O587" s="249"/>
      <c r="P587" s="249"/>
      <c r="Q587" s="249"/>
      <c r="R587" s="249"/>
      <c r="S587" s="249"/>
      <c r="T587" s="253"/>
      <c r="U587" s="253"/>
      <c r="V587" s="253"/>
      <c r="W587" s="253"/>
      <c r="X587" s="253"/>
      <c r="Y587" s="253"/>
      <c r="Z587" s="253"/>
      <c r="AA587" s="249"/>
      <c r="AB587" s="249"/>
      <c r="AC587" s="249"/>
      <c r="AD587" s="249"/>
      <c r="AE587" s="249"/>
      <c r="AF587" s="249"/>
      <c r="AG587" s="249"/>
      <c r="AH587" s="249"/>
      <c r="AI587" s="249"/>
      <c r="AJ587" s="249"/>
      <c r="AK587" s="249"/>
      <c r="AL587" s="249"/>
      <c r="AM587" s="249"/>
      <c r="AN587" s="249"/>
      <c r="AO587" s="249"/>
    </row>
    <row r="588" spans="13:41" x14ac:dyDescent="0.35">
      <c r="M588" s="263" t="s">
        <v>214</v>
      </c>
      <c r="N588" s="272"/>
      <c r="O588" s="273" t="s">
        <v>256</v>
      </c>
      <c r="P588" s="283"/>
      <c r="Q588" s="273"/>
      <c r="R588" s="273"/>
      <c r="S588" s="273"/>
      <c r="T588" s="253"/>
      <c r="U588" s="275" t="str">
        <f>O588</f>
        <v>Tabelas de IRS de retenção na fonte referente a 2022 nos Açores</v>
      </c>
      <c r="V588" s="253"/>
      <c r="W588" s="253"/>
      <c r="X588" s="253"/>
      <c r="Y588" s="253"/>
      <c r="Z588" s="253"/>
      <c r="AA588" s="249"/>
      <c r="AB588" s="249"/>
      <c r="AC588" s="249"/>
      <c r="AD588" s="249"/>
      <c r="AE588" s="249"/>
      <c r="AF588" s="249"/>
      <c r="AG588" s="249"/>
      <c r="AH588" s="249"/>
      <c r="AI588" s="249"/>
      <c r="AJ588" s="249"/>
      <c r="AK588" s="249"/>
      <c r="AL588" s="249"/>
      <c r="AM588" s="249"/>
      <c r="AN588" s="249"/>
      <c r="AO588" s="249"/>
    </row>
    <row r="589" spans="13:41" x14ac:dyDescent="0.35">
      <c r="M589" s="273"/>
      <c r="N589" s="273"/>
      <c r="O589" s="273" t="s">
        <v>189</v>
      </c>
      <c r="P589" s="273"/>
      <c r="Q589" s="273"/>
      <c r="R589" s="273"/>
      <c r="S589" s="273"/>
      <c r="T589" s="253"/>
      <c r="U589" s="275" t="str">
        <f>O589</f>
        <v>T A B E L A   V - TRABALHO DEPENDENTE</v>
      </c>
      <c r="V589" s="253"/>
      <c r="W589" s="253"/>
      <c r="X589" s="253"/>
      <c r="Y589" s="253"/>
      <c r="Z589" s="253"/>
      <c r="AA589" s="249"/>
      <c r="AB589" s="249"/>
      <c r="AC589" s="249"/>
      <c r="AD589" s="249"/>
      <c r="AE589" s="249"/>
      <c r="AF589" s="249"/>
      <c r="AG589" s="249"/>
      <c r="AH589" s="249"/>
      <c r="AI589" s="249"/>
      <c r="AJ589" s="249"/>
      <c r="AK589" s="249"/>
      <c r="AL589" s="249"/>
      <c r="AM589" s="249"/>
      <c r="AN589" s="249"/>
      <c r="AO589" s="249"/>
    </row>
    <row r="590" spans="13:41" x14ac:dyDescent="0.35">
      <c r="M590" s="273"/>
      <c r="N590" s="273"/>
      <c r="O590" s="276" t="s">
        <v>194</v>
      </c>
      <c r="P590" s="273"/>
      <c r="Q590" s="273"/>
      <c r="R590" s="273"/>
      <c r="S590" s="273"/>
      <c r="T590" s="253"/>
      <c r="U590" s="275" t="str">
        <f>O590</f>
        <v>Único titular deficiente</v>
      </c>
      <c r="V590" s="253"/>
      <c r="W590" s="253"/>
      <c r="X590" s="253"/>
      <c r="Y590" s="253"/>
      <c r="Z590" s="253"/>
      <c r="AA590" s="249"/>
      <c r="AB590" s="249"/>
      <c r="AC590" s="249"/>
      <c r="AD590" s="249"/>
      <c r="AE590" s="249"/>
      <c r="AF590" s="249"/>
      <c r="AG590" s="249"/>
      <c r="AH590" s="249"/>
      <c r="AI590" s="249"/>
      <c r="AJ590" s="249"/>
      <c r="AK590" s="249"/>
      <c r="AL590" s="249"/>
      <c r="AM590" s="249"/>
      <c r="AN590" s="249"/>
      <c r="AO590" s="249"/>
    </row>
    <row r="591" spans="13:41" x14ac:dyDescent="0.35">
      <c r="M591" s="267" t="s">
        <v>154</v>
      </c>
      <c r="N591" s="268" t="s">
        <v>155</v>
      </c>
      <c r="O591" s="268" t="s">
        <v>156</v>
      </c>
      <c r="P591" s="268" t="s">
        <v>157</v>
      </c>
      <c r="Q591" s="268" t="s">
        <v>158</v>
      </c>
      <c r="R591" s="268" t="s">
        <v>159</v>
      </c>
      <c r="S591" s="268" t="s">
        <v>160</v>
      </c>
      <c r="T591" s="253"/>
      <c r="U591" s="292" t="s">
        <v>155</v>
      </c>
      <c r="V591" s="292" t="s">
        <v>156</v>
      </c>
      <c r="W591" s="292" t="s">
        <v>157</v>
      </c>
      <c r="X591" s="292" t="s">
        <v>158</v>
      </c>
      <c r="Y591" s="292" t="s">
        <v>159</v>
      </c>
      <c r="Z591" s="292" t="s">
        <v>160</v>
      </c>
      <c r="AA591" s="249"/>
      <c r="AB591" s="249"/>
      <c r="AC591" s="249"/>
      <c r="AD591" s="249"/>
      <c r="AE591" s="249"/>
      <c r="AF591" s="249"/>
      <c r="AG591" s="249"/>
      <c r="AH591" s="249"/>
      <c r="AI591" s="249"/>
      <c r="AJ591" s="249"/>
      <c r="AK591" s="249"/>
      <c r="AL591" s="249"/>
      <c r="AM591" s="249"/>
      <c r="AN591" s="249"/>
      <c r="AO591" s="249"/>
    </row>
    <row r="592" spans="13:41" x14ac:dyDescent="0.35">
      <c r="M592" s="277">
        <v>1665</v>
      </c>
      <c r="N592" s="251">
        <f>IF($R$11&lt;=M592,IF($R$11&gt;=0,0,""),"")</f>
        <v>0</v>
      </c>
      <c r="O592" s="251">
        <f>IF($R$11&lt;=M592,IF($R$11&gt;=0,0,""),"")</f>
        <v>0</v>
      </c>
      <c r="P592" s="251">
        <f>IF($R$11&lt;=M592,IF($R$11&gt;=0,0,""),"")</f>
        <v>0</v>
      </c>
      <c r="Q592" s="251">
        <f>IF($R$11&lt;=M592,IF($R$11&gt;=0,0,""),"")</f>
        <v>0</v>
      </c>
      <c r="R592" s="251">
        <f>IF($R$11&lt;=M592,IF($R$11&gt;=0,0,""),"")</f>
        <v>0</v>
      </c>
      <c r="S592" s="251">
        <f>IF($R$11&lt;=M592,IF($R$11&gt;=0,0,""),"")</f>
        <v>0</v>
      </c>
      <c r="T592" s="253"/>
      <c r="U592" s="278">
        <v>0</v>
      </c>
      <c r="V592" s="278">
        <v>0</v>
      </c>
      <c r="W592" s="278">
        <v>0</v>
      </c>
      <c r="X592" s="278">
        <v>0</v>
      </c>
      <c r="Y592" s="278">
        <v>0</v>
      </c>
      <c r="Z592" s="278">
        <v>0</v>
      </c>
      <c r="AA592" s="249"/>
      <c r="AB592" s="249"/>
      <c r="AC592" s="249"/>
      <c r="AD592" s="249"/>
      <c r="AE592" s="249"/>
      <c r="AF592" s="249"/>
      <c r="AG592" s="249"/>
      <c r="AH592" s="249"/>
      <c r="AI592" s="249"/>
      <c r="AJ592" s="249"/>
      <c r="AK592" s="249"/>
      <c r="AL592" s="249"/>
      <c r="AM592" s="249"/>
      <c r="AN592" s="249"/>
      <c r="AO592" s="249"/>
    </row>
    <row r="593" spans="13:41" x14ac:dyDescent="0.35">
      <c r="M593" s="277">
        <v>1769</v>
      </c>
      <c r="N593" s="251" t="str">
        <f t="shared" ref="N593:N619" si="91">IF($R$11&lt;=M593,IF($R$11&gt;=M592+0.01,U593,""),"")</f>
        <v/>
      </c>
      <c r="O593" s="251" t="str">
        <f t="shared" ref="O593:O619" si="92">IF($R$11&lt;=M593,IF($R$11&gt;=M592+0.01,V593,""),"")</f>
        <v/>
      </c>
      <c r="P593" s="251" t="str">
        <f t="shared" ref="P593:P619" si="93">IF($R$11&lt;=M593,IF($R$11&gt;=M592+0.01,W593,""),"")</f>
        <v/>
      </c>
      <c r="Q593" s="251" t="str">
        <f t="shared" ref="Q593:Q619" si="94">IF($R$11&lt;=M593,IF($R$11&gt;=M592+0.01,X593,""),"")</f>
        <v/>
      </c>
      <c r="R593" s="251" t="str">
        <f t="shared" ref="R593:R619" si="95">IF($R$11&lt;=M593,IF($R$11&gt;=M592+0.01,Y593,""),"")</f>
        <v/>
      </c>
      <c r="S593" s="252" t="str">
        <f t="shared" ref="S593:S619" si="96">IF($R$11&lt;=M593,IF($R$11&gt;=M592+0.01,Z593,""),"")</f>
        <v/>
      </c>
      <c r="T593" s="253"/>
      <c r="U593" s="278">
        <v>5.0000000000000001E-3</v>
      </c>
      <c r="V593" s="278">
        <v>0</v>
      </c>
      <c r="W593" s="278">
        <v>0</v>
      </c>
      <c r="X593" s="278">
        <v>0</v>
      </c>
      <c r="Y593" s="278">
        <v>0</v>
      </c>
      <c r="Z593" s="278">
        <v>0</v>
      </c>
      <c r="AA593" s="249"/>
      <c r="AB593" s="279"/>
      <c r="AC593" s="279"/>
      <c r="AD593" s="279"/>
      <c r="AE593" s="279"/>
      <c r="AF593" s="279"/>
      <c r="AG593" s="279"/>
      <c r="AH593" s="249"/>
      <c r="AI593" s="249"/>
      <c r="AJ593" s="249"/>
      <c r="AK593" s="249"/>
      <c r="AL593" s="249"/>
      <c r="AM593" s="249"/>
      <c r="AN593" s="249"/>
      <c r="AO593" s="249"/>
    </row>
    <row r="594" spans="13:41" x14ac:dyDescent="0.35">
      <c r="M594" s="277">
        <v>1923</v>
      </c>
      <c r="N594" s="251" t="str">
        <f>IF($R$11&lt;=M594,IF($R$11&gt;=M593+0.01,U594,""),"")</f>
        <v/>
      </c>
      <c r="O594" s="251" t="str">
        <f>IF($R$11&lt;=M594,IF($R$11&gt;=M593+0.01,V594,""),"")</f>
        <v/>
      </c>
      <c r="P594" s="251" t="str">
        <f>IF($R$11&lt;=M594,IF($R$11&gt;=M593+0.01,W594,""),"")</f>
        <v/>
      </c>
      <c r="Q594" s="251" t="str">
        <f>IF($R$11&lt;=M594,IF($R$11&gt;=M593+0.01,X594,""),"")</f>
        <v/>
      </c>
      <c r="R594" s="251" t="str">
        <f>IF($R$11&lt;=M594,IF($R$11&gt;=M593+0.01,Y594,""),"")</f>
        <v/>
      </c>
      <c r="S594" s="252" t="str">
        <f>IF($R$11&lt;=M594,IF($R$11&gt;=M593+0.01,Z594,""),"")</f>
        <v/>
      </c>
      <c r="T594" s="253"/>
      <c r="U594" s="278">
        <v>2.5999999999999999E-2</v>
      </c>
      <c r="V594" s="278">
        <v>7.0000000000000001E-3</v>
      </c>
      <c r="W594" s="278">
        <v>1E-3</v>
      </c>
      <c r="X594" s="278">
        <v>0</v>
      </c>
      <c r="Y594" s="278">
        <v>0</v>
      </c>
      <c r="Z594" s="278">
        <v>0</v>
      </c>
      <c r="AA594" s="249"/>
      <c r="AB594" s="279"/>
      <c r="AC594" s="279"/>
      <c r="AD594" s="279"/>
      <c r="AE594" s="279"/>
      <c r="AF594" s="279"/>
      <c r="AG594" s="279"/>
      <c r="AH594" s="249"/>
      <c r="AI594" s="249"/>
      <c r="AJ594" s="249"/>
      <c r="AK594" s="249"/>
      <c r="AL594" s="249"/>
      <c r="AM594" s="249"/>
      <c r="AN594" s="249"/>
      <c r="AO594" s="249"/>
    </row>
    <row r="595" spans="13:41" x14ac:dyDescent="0.35">
      <c r="M595" s="277">
        <v>1990</v>
      </c>
      <c r="N595" s="251" t="str">
        <f>IF($R$11&lt;=M595,IF($R$11&gt;=M594+0.01,U595,""),"")</f>
        <v/>
      </c>
      <c r="O595" s="251" t="str">
        <f>IF($R$11&lt;=M595,IF($R$11&gt;=M594+0.01,V595,""),"")</f>
        <v/>
      </c>
      <c r="P595" s="251" t="str">
        <f>IF($R$11&lt;=M595,IF($R$11&gt;=M594+0.01,W595,""),"")</f>
        <v/>
      </c>
      <c r="Q595" s="251" t="str">
        <f>IF($R$11&lt;=M595,IF($R$11&gt;=M594+0.01,X595,""),"")</f>
        <v/>
      </c>
      <c r="R595" s="251" t="str">
        <f>IF($R$11&lt;=M595,IF($R$11&gt;=M594+0.01,Y595,""),"")</f>
        <v/>
      </c>
      <c r="S595" s="252" t="str">
        <f>IF($R$11&lt;=M595,IF($R$11&gt;=M594+0.01,Z595,""),"")</f>
        <v/>
      </c>
      <c r="T595" s="253"/>
      <c r="U595" s="278">
        <v>3.3000000000000002E-2</v>
      </c>
      <c r="V595" s="278">
        <v>2.1000000000000001E-2</v>
      </c>
      <c r="W595" s="278">
        <v>1.4999999999999999E-2</v>
      </c>
      <c r="X595" s="278">
        <v>3.0000000000000001E-3</v>
      </c>
      <c r="Y595" s="278">
        <v>0</v>
      </c>
      <c r="Z595" s="278">
        <v>0</v>
      </c>
      <c r="AA595" s="249"/>
      <c r="AB595" s="279"/>
      <c r="AC595" s="279"/>
      <c r="AD595" s="279"/>
      <c r="AE595" s="279"/>
      <c r="AF595" s="279"/>
      <c r="AG595" s="279"/>
      <c r="AH595" s="249"/>
      <c r="AI595" s="249"/>
      <c r="AJ595" s="249"/>
      <c r="AK595" s="249"/>
      <c r="AL595" s="249"/>
      <c r="AM595" s="249"/>
      <c r="AN595" s="249"/>
      <c r="AO595" s="249"/>
    </row>
    <row r="596" spans="13:41" x14ac:dyDescent="0.35">
      <c r="M596" s="277">
        <v>2364</v>
      </c>
      <c r="N596" s="251" t="str">
        <f>IF($R$11&lt;=M596,IF($R$11&gt;=M595+0.01,U596,""),"")</f>
        <v/>
      </c>
      <c r="O596" s="251" t="str">
        <f>IF($R$11&lt;=M596,IF($R$11&gt;=M595+0.01,V596,""),"")</f>
        <v/>
      </c>
      <c r="P596" s="251" t="str">
        <f>IF($R$11&lt;=M596,IF($R$11&gt;=M595+0.01,W596,""),"")</f>
        <v/>
      </c>
      <c r="Q596" s="251" t="str">
        <f>IF($R$11&lt;=M596,IF($R$11&gt;=M595+0.01,X596,""),"")</f>
        <v/>
      </c>
      <c r="R596" s="251" t="str">
        <f>IF($R$11&lt;=M596,IF($R$11&gt;=M595+0.01,Y596,""),"")</f>
        <v/>
      </c>
      <c r="S596" s="252" t="str">
        <f>IF($R$11&lt;=M596,IF($R$11&gt;=M595+0.01,Z596,""),"")</f>
        <v/>
      </c>
      <c r="T596" s="253"/>
      <c r="U596" s="278">
        <v>0.04</v>
      </c>
      <c r="V596" s="278">
        <v>3.5000000000000003E-2</v>
      </c>
      <c r="W596" s="278">
        <v>2.1999999999999999E-2</v>
      </c>
      <c r="X596" s="278">
        <v>0.01</v>
      </c>
      <c r="Y596" s="278">
        <v>0</v>
      </c>
      <c r="Z596" s="278">
        <v>0</v>
      </c>
      <c r="AA596" s="249"/>
      <c r="AB596" s="279"/>
      <c r="AC596" s="279"/>
      <c r="AD596" s="279"/>
      <c r="AE596" s="279"/>
      <c r="AF596" s="279"/>
      <c r="AG596" s="279"/>
      <c r="AH596" s="249"/>
      <c r="AI596" s="249"/>
      <c r="AJ596" s="249"/>
      <c r="AK596" s="249"/>
      <c r="AL596" s="249"/>
      <c r="AM596" s="249"/>
      <c r="AN596" s="249"/>
      <c r="AO596" s="249"/>
    </row>
    <row r="597" spans="13:41" x14ac:dyDescent="0.35">
      <c r="M597" s="277">
        <v>2543</v>
      </c>
      <c r="N597" s="251" t="str">
        <f>IF($R$11&lt;=M597,IF($R$11&gt;=M596+0.01,U597,""),"")</f>
        <v/>
      </c>
      <c r="O597" s="251" t="str">
        <f>IF($R$11&lt;=M597,IF($R$11&gt;=M596+0.01,V597,""),"")</f>
        <v/>
      </c>
      <c r="P597" s="251" t="str">
        <f>IF($R$11&lt;=M597,IF($R$11&gt;=M596+0.01,W597,""),"")</f>
        <v/>
      </c>
      <c r="Q597" s="251" t="str">
        <f>IF($R$11&lt;=M597,IF($R$11&gt;=M596+0.01,X597,""),"")</f>
        <v/>
      </c>
      <c r="R597" s="251" t="str">
        <f>IF($R$11&lt;=M597,IF($R$11&gt;=M596+0.01,Y597,""),"")</f>
        <v/>
      </c>
      <c r="S597" s="252" t="str">
        <f>IF($R$11&lt;=M597,IF($R$11&gt;=M596+0.01,Z597,""),"")</f>
        <v/>
      </c>
      <c r="T597" s="253"/>
      <c r="U597" s="278">
        <v>4.5999999999999999E-2</v>
      </c>
      <c r="V597" s="278">
        <v>4.2000000000000003E-2</v>
      </c>
      <c r="W597" s="278">
        <v>2.9000000000000001E-2</v>
      </c>
      <c r="X597" s="278">
        <v>1.7000000000000001E-2</v>
      </c>
      <c r="Y597" s="278">
        <v>4.0000000000000001E-3</v>
      </c>
      <c r="Z597" s="278">
        <v>0</v>
      </c>
      <c r="AA597" s="249"/>
      <c r="AB597" s="279"/>
      <c r="AC597" s="279"/>
      <c r="AD597" s="279"/>
      <c r="AE597" s="279"/>
      <c r="AF597" s="279"/>
      <c r="AG597" s="279"/>
      <c r="AH597" s="249"/>
      <c r="AI597" s="249"/>
      <c r="AJ597" s="249"/>
      <c r="AK597" s="249"/>
      <c r="AL597" s="249"/>
      <c r="AM597" s="249"/>
      <c r="AN597" s="249"/>
      <c r="AO597" s="249"/>
    </row>
    <row r="598" spans="13:41" x14ac:dyDescent="0.35">
      <c r="M598" s="277">
        <v>2792</v>
      </c>
      <c r="N598" s="251" t="str">
        <f t="shared" si="91"/>
        <v/>
      </c>
      <c r="O598" s="251" t="str">
        <f t="shared" si="92"/>
        <v/>
      </c>
      <c r="P598" s="251" t="str">
        <f t="shared" si="93"/>
        <v/>
      </c>
      <c r="Q598" s="251" t="str">
        <f t="shared" si="94"/>
        <v/>
      </c>
      <c r="R598" s="251" t="str">
        <f t="shared" si="95"/>
        <v/>
      </c>
      <c r="S598" s="252" t="str">
        <f t="shared" si="96"/>
        <v/>
      </c>
      <c r="T598" s="253"/>
      <c r="U598" s="278">
        <v>0.06</v>
      </c>
      <c r="V598" s="278">
        <v>5.5E-2</v>
      </c>
      <c r="W598" s="278">
        <v>4.2999999999999997E-2</v>
      </c>
      <c r="X598" s="278">
        <v>3.1E-2</v>
      </c>
      <c r="Y598" s="278">
        <v>2.5000000000000001E-2</v>
      </c>
      <c r="Z598" s="278">
        <v>1.2999999999999999E-2</v>
      </c>
      <c r="AA598" s="249"/>
      <c r="AB598" s="279"/>
      <c r="AC598" s="279"/>
      <c r="AD598" s="279"/>
      <c r="AE598" s="279"/>
      <c r="AF598" s="279"/>
      <c r="AG598" s="279"/>
      <c r="AH598" s="249"/>
      <c r="AI598" s="249"/>
      <c r="AJ598" s="249"/>
      <c r="AK598" s="249"/>
      <c r="AL598" s="249"/>
      <c r="AM598" s="249"/>
      <c r="AN598" s="249"/>
      <c r="AO598" s="249"/>
    </row>
    <row r="599" spans="13:41" x14ac:dyDescent="0.35">
      <c r="M599" s="277">
        <v>2998</v>
      </c>
      <c r="N599" s="251" t="str">
        <f t="shared" si="91"/>
        <v/>
      </c>
      <c r="O599" s="251" t="str">
        <f t="shared" si="92"/>
        <v/>
      </c>
      <c r="P599" s="251" t="str">
        <f t="shared" si="93"/>
        <v/>
      </c>
      <c r="Q599" s="251" t="str">
        <f t="shared" si="94"/>
        <v/>
      </c>
      <c r="R599" s="251" t="str">
        <f t="shared" si="95"/>
        <v/>
      </c>
      <c r="S599" s="252" t="str">
        <f t="shared" si="96"/>
        <v/>
      </c>
      <c r="T599" s="253"/>
      <c r="U599" s="278">
        <v>6.7000000000000004E-2</v>
      </c>
      <c r="V599" s="278">
        <v>6.2E-2</v>
      </c>
      <c r="W599" s="278">
        <v>0.05</v>
      </c>
      <c r="X599" s="278">
        <v>3.7999999999999999E-2</v>
      </c>
      <c r="Y599" s="278">
        <v>3.2000000000000001E-2</v>
      </c>
      <c r="Z599" s="278">
        <v>0.02</v>
      </c>
      <c r="AA599" s="249"/>
      <c r="AB599" s="279"/>
      <c r="AC599" s="279"/>
      <c r="AD599" s="279"/>
      <c r="AE599" s="279"/>
      <c r="AF599" s="279"/>
      <c r="AG599" s="279"/>
      <c r="AH599" s="249"/>
      <c r="AI599" s="249"/>
      <c r="AJ599" s="249"/>
      <c r="AK599" s="249"/>
      <c r="AL599" s="249"/>
      <c r="AM599" s="249"/>
      <c r="AN599" s="249"/>
      <c r="AO599" s="249"/>
    </row>
    <row r="600" spans="13:41" x14ac:dyDescent="0.35">
      <c r="M600" s="277">
        <v>3215</v>
      </c>
      <c r="N600" s="251" t="str">
        <f t="shared" si="91"/>
        <v/>
      </c>
      <c r="O600" s="251" t="str">
        <f t="shared" si="92"/>
        <v/>
      </c>
      <c r="P600" s="251" t="str">
        <f t="shared" si="93"/>
        <v/>
      </c>
      <c r="Q600" s="251" t="str">
        <f t="shared" si="94"/>
        <v/>
      </c>
      <c r="R600" s="251" t="str">
        <f t="shared" si="95"/>
        <v/>
      </c>
      <c r="S600" s="252" t="str">
        <f t="shared" si="96"/>
        <v/>
      </c>
      <c r="T600" s="253"/>
      <c r="U600" s="278">
        <v>7.6999999999999999E-2</v>
      </c>
      <c r="V600" s="278">
        <v>7.1999999999999995E-2</v>
      </c>
      <c r="W600" s="278">
        <v>0.06</v>
      </c>
      <c r="X600" s="278">
        <v>4.8000000000000001E-2</v>
      </c>
      <c r="Y600" s="278">
        <v>4.2999999999999997E-2</v>
      </c>
      <c r="Z600" s="278">
        <v>0.03</v>
      </c>
      <c r="AA600" s="249"/>
      <c r="AB600" s="279"/>
      <c r="AC600" s="279"/>
      <c r="AD600" s="279"/>
      <c r="AE600" s="279"/>
      <c r="AF600" s="279"/>
      <c r="AG600" s="279"/>
      <c r="AH600" s="249"/>
      <c r="AI600" s="249"/>
      <c r="AJ600" s="249"/>
      <c r="AK600" s="249"/>
      <c r="AL600" s="249"/>
      <c r="AM600" s="249"/>
      <c r="AN600" s="249"/>
      <c r="AO600" s="249"/>
    </row>
    <row r="601" spans="13:41" x14ac:dyDescent="0.35">
      <c r="M601" s="277">
        <v>3387</v>
      </c>
      <c r="N601" s="251" t="str">
        <f t="shared" si="91"/>
        <v/>
      </c>
      <c r="O601" s="251" t="str">
        <f t="shared" si="92"/>
        <v/>
      </c>
      <c r="P601" s="251" t="str">
        <f t="shared" si="93"/>
        <v/>
      </c>
      <c r="Q601" s="251" t="str">
        <f t="shared" si="94"/>
        <v/>
      </c>
      <c r="R601" s="251" t="str">
        <f t="shared" si="95"/>
        <v/>
      </c>
      <c r="S601" s="252" t="str">
        <f t="shared" si="96"/>
        <v/>
      </c>
      <c r="T601" s="253"/>
      <c r="U601" s="278">
        <v>8.5000000000000006E-2</v>
      </c>
      <c r="V601" s="278">
        <v>8.3000000000000004E-2</v>
      </c>
      <c r="W601" s="278">
        <v>7.3999999999999996E-2</v>
      </c>
      <c r="X601" s="278">
        <v>6.4000000000000001E-2</v>
      </c>
      <c r="Y601" s="278">
        <v>6.0999999999999999E-2</v>
      </c>
      <c r="Z601" s="278">
        <v>5.8000000000000003E-2</v>
      </c>
      <c r="AA601" s="249"/>
      <c r="AB601" s="279"/>
      <c r="AC601" s="279"/>
      <c r="AD601" s="279"/>
      <c r="AE601" s="279"/>
      <c r="AF601" s="279"/>
      <c r="AG601" s="279"/>
      <c r="AH601" s="249"/>
      <c r="AI601" s="249"/>
      <c r="AJ601" s="249"/>
      <c r="AK601" s="249"/>
      <c r="AL601" s="249"/>
      <c r="AM601" s="249"/>
      <c r="AN601" s="249"/>
      <c r="AO601" s="249"/>
    </row>
    <row r="602" spans="13:41" x14ac:dyDescent="0.35">
      <c r="M602" s="277">
        <v>3545</v>
      </c>
      <c r="N602" s="251" t="str">
        <f t="shared" si="91"/>
        <v/>
      </c>
      <c r="O602" s="251" t="str">
        <f t="shared" si="92"/>
        <v/>
      </c>
      <c r="P602" s="251" t="str">
        <f t="shared" si="93"/>
        <v/>
      </c>
      <c r="Q602" s="251" t="str">
        <f t="shared" si="94"/>
        <v/>
      </c>
      <c r="R602" s="251" t="str">
        <f t="shared" si="95"/>
        <v/>
      </c>
      <c r="S602" s="252" t="str">
        <f t="shared" si="96"/>
        <v/>
      </c>
      <c r="T602" s="253"/>
      <c r="U602" s="278">
        <v>9.5000000000000001E-2</v>
      </c>
      <c r="V602" s="278">
        <v>9.5000000000000001E-2</v>
      </c>
      <c r="W602" s="278">
        <v>8.4000000000000005E-2</v>
      </c>
      <c r="X602" s="278">
        <v>7.3999999999999996E-2</v>
      </c>
      <c r="Y602" s="278">
        <v>7.0999999999999994E-2</v>
      </c>
      <c r="Z602" s="278">
        <v>6.9000000000000006E-2</v>
      </c>
      <c r="AA602" s="249"/>
      <c r="AB602" s="279"/>
      <c r="AC602" s="279"/>
      <c r="AD602" s="279"/>
      <c r="AE602" s="279"/>
      <c r="AF602" s="279"/>
      <c r="AG602" s="279"/>
      <c r="AH602" s="249"/>
      <c r="AI602" s="249"/>
      <c r="AJ602" s="249"/>
      <c r="AK602" s="249"/>
      <c r="AL602" s="249"/>
      <c r="AM602" s="249"/>
      <c r="AN602" s="249"/>
      <c r="AO602" s="249"/>
    </row>
    <row r="603" spans="13:41" x14ac:dyDescent="0.35">
      <c r="M603" s="277">
        <v>3649</v>
      </c>
      <c r="N603" s="251" t="str">
        <f t="shared" si="91"/>
        <v/>
      </c>
      <c r="O603" s="251" t="str">
        <f t="shared" si="92"/>
        <v/>
      </c>
      <c r="P603" s="251" t="str">
        <f t="shared" si="93"/>
        <v/>
      </c>
      <c r="Q603" s="251" t="str">
        <f t="shared" si="94"/>
        <v/>
      </c>
      <c r="R603" s="251" t="str">
        <f t="shared" si="95"/>
        <v/>
      </c>
      <c r="S603" s="252" t="str">
        <f t="shared" si="96"/>
        <v/>
      </c>
      <c r="T603" s="253"/>
      <c r="U603" s="278">
        <v>0.10199999999999999</v>
      </c>
      <c r="V603" s="278">
        <v>0.10199999999999999</v>
      </c>
      <c r="W603" s="278">
        <v>9.9000000000000005E-2</v>
      </c>
      <c r="X603" s="278">
        <v>8.1000000000000003E-2</v>
      </c>
      <c r="Y603" s="278">
        <v>7.8E-2</v>
      </c>
      <c r="Z603" s="278">
        <v>7.5999999999999998E-2</v>
      </c>
      <c r="AA603" s="249"/>
      <c r="AB603" s="279"/>
      <c r="AC603" s="279"/>
      <c r="AD603" s="279"/>
      <c r="AE603" s="279"/>
      <c r="AF603" s="279"/>
      <c r="AG603" s="279"/>
      <c r="AH603" s="249"/>
      <c r="AI603" s="249"/>
      <c r="AJ603" s="249"/>
      <c r="AK603" s="249"/>
      <c r="AL603" s="249"/>
      <c r="AM603" s="249"/>
      <c r="AN603" s="249"/>
      <c r="AO603" s="249"/>
    </row>
    <row r="604" spans="13:41" x14ac:dyDescent="0.35">
      <c r="M604" s="277">
        <v>3861</v>
      </c>
      <c r="N604" s="251" t="str">
        <f t="shared" si="91"/>
        <v/>
      </c>
      <c r="O604" s="251" t="str">
        <f t="shared" si="92"/>
        <v/>
      </c>
      <c r="P604" s="251" t="str">
        <f t="shared" si="93"/>
        <v/>
      </c>
      <c r="Q604" s="251" t="str">
        <f t="shared" si="94"/>
        <v/>
      </c>
      <c r="R604" s="251" t="str">
        <f t="shared" si="95"/>
        <v/>
      </c>
      <c r="S604" s="252" t="str">
        <f t="shared" si="96"/>
        <v/>
      </c>
      <c r="T604" s="253"/>
      <c r="U604" s="278">
        <v>0.109</v>
      </c>
      <c r="V604" s="278">
        <v>0.109</v>
      </c>
      <c r="W604" s="278">
        <v>0.106</v>
      </c>
      <c r="X604" s="278">
        <v>8.8999999999999996E-2</v>
      </c>
      <c r="Y604" s="278">
        <v>8.5000000000000006E-2</v>
      </c>
      <c r="Z604" s="278">
        <v>8.3000000000000004E-2</v>
      </c>
      <c r="AA604" s="249"/>
      <c r="AB604" s="279"/>
      <c r="AC604" s="279"/>
      <c r="AD604" s="279"/>
      <c r="AE604" s="279"/>
      <c r="AF604" s="279"/>
      <c r="AG604" s="279"/>
      <c r="AH604" s="249"/>
      <c r="AI604" s="249"/>
      <c r="AJ604" s="249"/>
      <c r="AK604" s="249"/>
      <c r="AL604" s="249"/>
      <c r="AM604" s="249"/>
      <c r="AN604" s="249"/>
      <c r="AO604" s="249"/>
    </row>
    <row r="605" spans="13:41" x14ac:dyDescent="0.35">
      <c r="M605" s="277">
        <v>3969</v>
      </c>
      <c r="N605" s="251" t="str">
        <f t="shared" si="91"/>
        <v/>
      </c>
      <c r="O605" s="251" t="str">
        <f t="shared" si="92"/>
        <v/>
      </c>
      <c r="P605" s="251" t="str">
        <f t="shared" si="93"/>
        <v/>
      </c>
      <c r="Q605" s="251" t="str">
        <f t="shared" si="94"/>
        <v/>
      </c>
      <c r="R605" s="251" t="str">
        <f t="shared" si="95"/>
        <v/>
      </c>
      <c r="S605" s="252" t="str">
        <f t="shared" si="96"/>
        <v/>
      </c>
      <c r="T605" s="253"/>
      <c r="U605" s="278">
        <v>0.11600000000000001</v>
      </c>
      <c r="V605" s="278">
        <v>0.11600000000000001</v>
      </c>
      <c r="W605" s="278">
        <v>0.113</v>
      </c>
      <c r="X605" s="278">
        <v>9.6000000000000002E-2</v>
      </c>
      <c r="Y605" s="278">
        <v>9.2999999999999999E-2</v>
      </c>
      <c r="Z605" s="278">
        <v>8.8999999999999996E-2</v>
      </c>
      <c r="AA605" s="249"/>
      <c r="AB605" s="279"/>
      <c r="AC605" s="279"/>
      <c r="AD605" s="279"/>
      <c r="AE605" s="279"/>
      <c r="AF605" s="279"/>
      <c r="AG605" s="279"/>
      <c r="AH605" s="249"/>
      <c r="AI605" s="249"/>
      <c r="AJ605" s="249"/>
      <c r="AK605" s="249"/>
      <c r="AL605" s="249"/>
      <c r="AM605" s="249"/>
      <c r="AN605" s="249"/>
      <c r="AO605" s="249"/>
    </row>
    <row r="606" spans="13:41" x14ac:dyDescent="0.35">
      <c r="M606" s="277">
        <v>4290</v>
      </c>
      <c r="N606" s="251" t="str">
        <f t="shared" si="91"/>
        <v/>
      </c>
      <c r="O606" s="251" t="str">
        <f t="shared" si="92"/>
        <v/>
      </c>
      <c r="P606" s="251" t="str">
        <f t="shared" si="93"/>
        <v/>
      </c>
      <c r="Q606" s="251" t="str">
        <f t="shared" si="94"/>
        <v/>
      </c>
      <c r="R606" s="251" t="str">
        <f t="shared" si="95"/>
        <v/>
      </c>
      <c r="S606" s="252" t="str">
        <f t="shared" si="96"/>
        <v/>
      </c>
      <c r="T606" s="253"/>
      <c r="U606" s="278">
        <v>0.123</v>
      </c>
      <c r="V606" s="278">
        <v>0.122</v>
      </c>
      <c r="W606" s="278">
        <v>0.12</v>
      </c>
      <c r="X606" s="278">
        <v>0.10299999999999999</v>
      </c>
      <c r="Y606" s="278">
        <v>0.1</v>
      </c>
      <c r="Z606" s="278">
        <v>9.7000000000000003E-2</v>
      </c>
      <c r="AA606" s="249"/>
      <c r="AB606" s="279"/>
      <c r="AC606" s="279"/>
      <c r="AD606" s="279"/>
      <c r="AE606" s="279"/>
      <c r="AF606" s="279"/>
      <c r="AG606" s="279"/>
      <c r="AH606" s="249"/>
      <c r="AI606" s="249"/>
      <c r="AJ606" s="249"/>
      <c r="AK606" s="249"/>
      <c r="AL606" s="249"/>
      <c r="AM606" s="249"/>
      <c r="AN606" s="249"/>
      <c r="AO606" s="249"/>
    </row>
    <row r="607" spans="13:41" x14ac:dyDescent="0.35">
      <c r="M607" s="277">
        <v>4497</v>
      </c>
      <c r="N607" s="251" t="str">
        <f t="shared" si="91"/>
        <v/>
      </c>
      <c r="O607" s="251" t="str">
        <f t="shared" si="92"/>
        <v/>
      </c>
      <c r="P607" s="251" t="str">
        <f t="shared" si="93"/>
        <v/>
      </c>
      <c r="Q607" s="251" t="str">
        <f t="shared" si="94"/>
        <v/>
      </c>
      <c r="R607" s="251" t="str">
        <f t="shared" si="95"/>
        <v/>
      </c>
      <c r="S607" s="252" t="str">
        <f t="shared" si="96"/>
        <v/>
      </c>
      <c r="T607" s="253"/>
      <c r="U607" s="278">
        <v>0.13</v>
      </c>
      <c r="V607" s="278">
        <v>0.129</v>
      </c>
      <c r="W607" s="278">
        <v>0.126</v>
      </c>
      <c r="X607" s="278">
        <v>0.11</v>
      </c>
      <c r="Y607" s="278">
        <v>0.107</v>
      </c>
      <c r="Z607" s="278">
        <v>0.104</v>
      </c>
      <c r="AA607" s="249"/>
      <c r="AB607" s="279"/>
      <c r="AC607" s="279"/>
      <c r="AD607" s="279"/>
      <c r="AE607" s="279"/>
      <c r="AF607" s="279"/>
      <c r="AG607" s="279"/>
      <c r="AH607" s="249"/>
      <c r="AI607" s="249"/>
      <c r="AJ607" s="249"/>
      <c r="AK607" s="249"/>
      <c r="AL607" s="249"/>
      <c r="AM607" s="249"/>
      <c r="AN607" s="249"/>
      <c r="AO607" s="249"/>
    </row>
    <row r="608" spans="13:41" x14ac:dyDescent="0.35">
      <c r="M608" s="277">
        <v>4936</v>
      </c>
      <c r="N608" s="251" t="str">
        <f t="shared" si="91"/>
        <v/>
      </c>
      <c r="O608" s="251" t="str">
        <f t="shared" si="92"/>
        <v/>
      </c>
      <c r="P608" s="251" t="str">
        <f t="shared" si="93"/>
        <v/>
      </c>
      <c r="Q608" s="251" t="str">
        <f t="shared" si="94"/>
        <v/>
      </c>
      <c r="R608" s="251" t="str">
        <f t="shared" si="95"/>
        <v/>
      </c>
      <c r="S608" s="252" t="str">
        <f t="shared" si="96"/>
        <v/>
      </c>
      <c r="T608" s="253"/>
      <c r="U608" s="278">
        <v>0.13700000000000001</v>
      </c>
      <c r="V608" s="278">
        <v>0.13600000000000001</v>
      </c>
      <c r="W608" s="278">
        <v>0.13300000000000001</v>
      </c>
      <c r="X608" s="278">
        <v>0.11700000000000001</v>
      </c>
      <c r="Y608" s="278">
        <v>0.114</v>
      </c>
      <c r="Z608" s="278">
        <v>0.111</v>
      </c>
      <c r="AA608" s="249"/>
      <c r="AB608" s="279"/>
      <c r="AC608" s="279"/>
      <c r="AD608" s="279"/>
      <c r="AE608" s="279"/>
      <c r="AF608" s="279"/>
      <c r="AG608" s="279"/>
      <c r="AH608" s="249"/>
      <c r="AI608" s="249"/>
      <c r="AJ608" s="249"/>
      <c r="AK608" s="249"/>
      <c r="AL608" s="249"/>
      <c r="AM608" s="249"/>
      <c r="AN608" s="249"/>
      <c r="AO608" s="249"/>
    </row>
    <row r="609" spans="13:41" x14ac:dyDescent="0.35">
      <c r="M609" s="277">
        <v>5364</v>
      </c>
      <c r="N609" s="251" t="str">
        <f t="shared" si="91"/>
        <v/>
      </c>
      <c r="O609" s="251" t="str">
        <f t="shared" si="92"/>
        <v/>
      </c>
      <c r="P609" s="251" t="str">
        <f t="shared" si="93"/>
        <v/>
      </c>
      <c r="Q609" s="251" t="str">
        <f t="shared" si="94"/>
        <v/>
      </c>
      <c r="R609" s="251" t="str">
        <f t="shared" si="95"/>
        <v/>
      </c>
      <c r="S609" s="252" t="str">
        <f t="shared" si="96"/>
        <v/>
      </c>
      <c r="T609" s="253"/>
      <c r="U609" s="278">
        <v>0.14399999999999999</v>
      </c>
      <c r="V609" s="278">
        <v>0.14299999999999999</v>
      </c>
      <c r="W609" s="278">
        <v>0.14000000000000001</v>
      </c>
      <c r="X609" s="278">
        <v>0.123</v>
      </c>
      <c r="Y609" s="278">
        <v>0.12</v>
      </c>
      <c r="Z609" s="278">
        <v>0.11799999999999999</v>
      </c>
      <c r="AA609" s="249"/>
      <c r="AB609" s="279"/>
      <c r="AC609" s="279"/>
      <c r="AD609" s="279"/>
      <c r="AE609" s="279"/>
      <c r="AF609" s="279"/>
      <c r="AG609" s="279"/>
      <c r="AH609" s="249"/>
      <c r="AI609" s="249"/>
      <c r="AJ609" s="249"/>
      <c r="AK609" s="249"/>
      <c r="AL609" s="249"/>
      <c r="AM609" s="249"/>
      <c r="AN609" s="249"/>
      <c r="AO609" s="249"/>
    </row>
    <row r="610" spans="13:41" x14ac:dyDescent="0.35">
      <c r="M610" s="277">
        <v>5576</v>
      </c>
      <c r="N610" s="251" t="str">
        <f t="shared" si="91"/>
        <v/>
      </c>
      <c r="O610" s="251" t="str">
        <f t="shared" si="92"/>
        <v/>
      </c>
      <c r="P610" s="251" t="str">
        <f t="shared" si="93"/>
        <v/>
      </c>
      <c r="Q610" s="251" t="str">
        <f t="shared" si="94"/>
        <v/>
      </c>
      <c r="R610" s="251" t="str">
        <f t="shared" si="95"/>
        <v/>
      </c>
      <c r="S610" s="252" t="str">
        <f t="shared" si="96"/>
        <v/>
      </c>
      <c r="T610" s="253"/>
      <c r="U610" s="278">
        <v>0.151</v>
      </c>
      <c r="V610" s="278">
        <v>0.15</v>
      </c>
      <c r="W610" s="278">
        <v>0.14699999999999999</v>
      </c>
      <c r="X610" s="278">
        <v>0.13700000000000001</v>
      </c>
      <c r="Y610" s="278">
        <v>0.127</v>
      </c>
      <c r="Z610" s="278">
        <v>0.125</v>
      </c>
      <c r="AA610" s="249"/>
      <c r="AB610" s="279"/>
      <c r="AC610" s="279"/>
      <c r="AD610" s="279"/>
      <c r="AE610" s="279"/>
      <c r="AF610" s="279"/>
      <c r="AG610" s="279"/>
      <c r="AH610" s="249"/>
      <c r="AI610" s="249"/>
      <c r="AJ610" s="249"/>
      <c r="AK610" s="249"/>
      <c r="AL610" s="249"/>
      <c r="AM610" s="249"/>
      <c r="AN610" s="249"/>
      <c r="AO610" s="249"/>
    </row>
    <row r="611" spans="13:41" x14ac:dyDescent="0.35">
      <c r="M611" s="277">
        <v>6015</v>
      </c>
      <c r="N611" s="251" t="str">
        <f t="shared" si="91"/>
        <v/>
      </c>
      <c r="O611" s="251" t="str">
        <f t="shared" si="92"/>
        <v/>
      </c>
      <c r="P611" s="251" t="str">
        <f t="shared" si="93"/>
        <v/>
      </c>
      <c r="Q611" s="251" t="str">
        <f t="shared" si="94"/>
        <v/>
      </c>
      <c r="R611" s="251" t="str">
        <f t="shared" si="95"/>
        <v/>
      </c>
      <c r="S611" s="252" t="str">
        <f t="shared" si="96"/>
        <v/>
      </c>
      <c r="T611" s="253"/>
      <c r="U611" s="278">
        <v>0.157</v>
      </c>
      <c r="V611" s="278">
        <v>0.156</v>
      </c>
      <c r="W611" s="278">
        <v>0.154</v>
      </c>
      <c r="X611" s="278">
        <v>0.14399999999999999</v>
      </c>
      <c r="Y611" s="278">
        <v>0.13400000000000001</v>
      </c>
      <c r="Z611" s="278">
        <v>0.13200000000000001</v>
      </c>
      <c r="AA611" s="249"/>
      <c r="AB611" s="279"/>
      <c r="AC611" s="279"/>
      <c r="AD611" s="279"/>
      <c r="AE611" s="279"/>
      <c r="AF611" s="279"/>
      <c r="AG611" s="279"/>
      <c r="AH611" s="249"/>
      <c r="AI611" s="249"/>
      <c r="AJ611" s="249"/>
      <c r="AK611" s="249"/>
      <c r="AL611" s="249"/>
      <c r="AM611" s="249"/>
      <c r="AN611" s="249"/>
      <c r="AO611" s="249"/>
    </row>
    <row r="612" spans="13:41" x14ac:dyDescent="0.35">
      <c r="M612" s="277">
        <v>6331</v>
      </c>
      <c r="N612" s="251" t="str">
        <f t="shared" si="91"/>
        <v/>
      </c>
      <c r="O612" s="251" t="str">
        <f t="shared" si="92"/>
        <v/>
      </c>
      <c r="P612" s="251" t="str">
        <f t="shared" si="93"/>
        <v/>
      </c>
      <c r="Q612" s="251" t="str">
        <f t="shared" si="94"/>
        <v/>
      </c>
      <c r="R612" s="251" t="str">
        <f t="shared" si="95"/>
        <v/>
      </c>
      <c r="S612" s="252" t="str">
        <f t="shared" si="96"/>
        <v/>
      </c>
      <c r="T612" s="253"/>
      <c r="U612" s="278">
        <v>0.16400000000000001</v>
      </c>
      <c r="V612" s="278">
        <v>0.16300000000000001</v>
      </c>
      <c r="W612" s="278">
        <v>0.16</v>
      </c>
      <c r="X612" s="278">
        <v>0.151</v>
      </c>
      <c r="Y612" s="278">
        <v>0.14099999999999999</v>
      </c>
      <c r="Z612" s="278">
        <v>0.13900000000000001</v>
      </c>
      <c r="AA612" s="249"/>
      <c r="AB612" s="279"/>
      <c r="AC612" s="279"/>
      <c r="AD612" s="279"/>
      <c r="AE612" s="279"/>
      <c r="AF612" s="279"/>
      <c r="AG612" s="279"/>
      <c r="AH612" s="249"/>
      <c r="AI612" s="249"/>
      <c r="AJ612" s="249"/>
      <c r="AK612" s="249"/>
      <c r="AL612" s="249"/>
      <c r="AM612" s="249"/>
      <c r="AN612" s="249"/>
      <c r="AO612" s="249"/>
    </row>
    <row r="613" spans="13:41" x14ac:dyDescent="0.35">
      <c r="M613" s="277">
        <v>6920</v>
      </c>
      <c r="N613" s="251" t="str">
        <f t="shared" si="91"/>
        <v/>
      </c>
      <c r="O613" s="251" t="str">
        <f t="shared" si="92"/>
        <v/>
      </c>
      <c r="P613" s="251" t="str">
        <f t="shared" si="93"/>
        <v/>
      </c>
      <c r="Q613" s="251" t="str">
        <f t="shared" si="94"/>
        <v/>
      </c>
      <c r="R613" s="251" t="str">
        <f t="shared" si="95"/>
        <v/>
      </c>
      <c r="S613" s="252" t="str">
        <f t="shared" si="96"/>
        <v/>
      </c>
      <c r="T613" s="253"/>
      <c r="U613" s="278">
        <v>0.17299999999999999</v>
      </c>
      <c r="V613" s="278">
        <v>0.17199999999999999</v>
      </c>
      <c r="W613" s="278">
        <v>0.17199999999999999</v>
      </c>
      <c r="X613" s="278">
        <v>0.16200000000000001</v>
      </c>
      <c r="Y613" s="278">
        <v>0.154</v>
      </c>
      <c r="Z613" s="278">
        <v>0.153</v>
      </c>
      <c r="AA613" s="249"/>
      <c r="AB613" s="279"/>
      <c r="AC613" s="279"/>
      <c r="AD613" s="279"/>
      <c r="AE613" s="279"/>
      <c r="AF613" s="279"/>
      <c r="AG613" s="279"/>
      <c r="AH613" s="249"/>
      <c r="AI613" s="249"/>
      <c r="AJ613" s="249"/>
      <c r="AK613" s="249"/>
      <c r="AL613" s="249"/>
      <c r="AM613" s="249"/>
      <c r="AN613" s="249"/>
      <c r="AO613" s="249"/>
    </row>
    <row r="614" spans="13:41" x14ac:dyDescent="0.35">
      <c r="M614" s="277">
        <v>7452</v>
      </c>
      <c r="N614" s="251" t="str">
        <f t="shared" si="91"/>
        <v/>
      </c>
      <c r="O614" s="251" t="str">
        <f t="shared" si="92"/>
        <v/>
      </c>
      <c r="P614" s="251" t="str">
        <f t="shared" si="93"/>
        <v/>
      </c>
      <c r="Q614" s="251" t="str">
        <f t="shared" si="94"/>
        <v/>
      </c>
      <c r="R614" s="251" t="str">
        <f t="shared" si="95"/>
        <v/>
      </c>
      <c r="S614" s="252" t="str">
        <f t="shared" si="96"/>
        <v/>
      </c>
      <c r="T614" s="253"/>
      <c r="U614" s="278">
        <v>0.18</v>
      </c>
      <c r="V614" s="278">
        <v>0.17899999999999999</v>
      </c>
      <c r="W614" s="278">
        <v>0.17899999999999999</v>
      </c>
      <c r="X614" s="278">
        <v>0.17</v>
      </c>
      <c r="Y614" s="278">
        <v>0.16700000000000001</v>
      </c>
      <c r="Z614" s="278">
        <v>0.159</v>
      </c>
      <c r="AA614" s="249"/>
      <c r="AB614" s="279"/>
      <c r="AC614" s="279"/>
      <c r="AD614" s="279"/>
      <c r="AE614" s="279"/>
      <c r="AF614" s="279"/>
      <c r="AG614" s="279"/>
      <c r="AH614" s="249"/>
      <c r="AI614" s="249"/>
      <c r="AJ614" s="249"/>
      <c r="AK614" s="249"/>
      <c r="AL614" s="249"/>
      <c r="AM614" s="249"/>
      <c r="AN614" s="249"/>
      <c r="AO614" s="249"/>
    </row>
    <row r="615" spans="13:41" x14ac:dyDescent="0.35">
      <c r="M615" s="277">
        <v>8299</v>
      </c>
      <c r="N615" s="251" t="str">
        <f t="shared" si="91"/>
        <v/>
      </c>
      <c r="O615" s="251" t="str">
        <f t="shared" si="92"/>
        <v/>
      </c>
      <c r="P615" s="251" t="str">
        <f t="shared" si="93"/>
        <v/>
      </c>
      <c r="Q615" s="251" t="str">
        <f t="shared" si="94"/>
        <v/>
      </c>
      <c r="R615" s="251" t="str">
        <f t="shared" si="95"/>
        <v/>
      </c>
      <c r="S615" s="252" t="str">
        <f t="shared" si="96"/>
        <v/>
      </c>
      <c r="T615" s="253"/>
      <c r="U615" s="278">
        <v>0.187</v>
      </c>
      <c r="V615" s="278">
        <v>0.186</v>
      </c>
      <c r="W615" s="278">
        <v>0.186</v>
      </c>
      <c r="X615" s="278">
        <v>0.17699999999999999</v>
      </c>
      <c r="Y615" s="278">
        <v>0.17599999999999999</v>
      </c>
      <c r="Z615" s="278">
        <v>0.16600000000000001</v>
      </c>
      <c r="AA615" s="249"/>
      <c r="AB615" s="279"/>
      <c r="AC615" s="279"/>
      <c r="AD615" s="279"/>
      <c r="AE615" s="279"/>
      <c r="AF615" s="279"/>
      <c r="AG615" s="279"/>
      <c r="AH615" s="249"/>
      <c r="AI615" s="249"/>
      <c r="AJ615" s="249"/>
      <c r="AK615" s="249"/>
      <c r="AL615" s="249"/>
      <c r="AM615" s="249"/>
      <c r="AN615" s="249"/>
      <c r="AO615" s="249"/>
    </row>
    <row r="616" spans="13:41" x14ac:dyDescent="0.35">
      <c r="M616" s="277">
        <v>9261</v>
      </c>
      <c r="N616" s="251" t="str">
        <f t="shared" si="91"/>
        <v/>
      </c>
      <c r="O616" s="251" t="str">
        <f t="shared" si="92"/>
        <v/>
      </c>
      <c r="P616" s="251" t="str">
        <f t="shared" si="93"/>
        <v/>
      </c>
      <c r="Q616" s="251" t="str">
        <f t="shared" si="94"/>
        <v/>
      </c>
      <c r="R616" s="251" t="str">
        <f t="shared" si="95"/>
        <v/>
      </c>
      <c r="S616" s="252" t="str">
        <f t="shared" si="96"/>
        <v/>
      </c>
      <c r="T616" s="253"/>
      <c r="U616" s="278">
        <v>0.193</v>
      </c>
      <c r="V616" s="278">
        <v>0.193</v>
      </c>
      <c r="W616" s="278">
        <v>0.192</v>
      </c>
      <c r="X616" s="278">
        <v>0.184</v>
      </c>
      <c r="Y616" s="278">
        <v>0.183</v>
      </c>
      <c r="Z616" s="278">
        <v>0.17399999999999999</v>
      </c>
      <c r="AA616" s="249"/>
      <c r="AB616" s="279"/>
      <c r="AC616" s="279"/>
      <c r="AD616" s="279"/>
      <c r="AE616" s="279"/>
      <c r="AF616" s="279"/>
      <c r="AG616" s="279"/>
      <c r="AH616" s="249"/>
      <c r="AI616" s="249"/>
      <c r="AJ616" s="249"/>
      <c r="AK616" s="249"/>
      <c r="AL616" s="249"/>
      <c r="AM616" s="249"/>
      <c r="AN616" s="249"/>
      <c r="AO616" s="249"/>
    </row>
    <row r="617" spans="13:41" x14ac:dyDescent="0.35">
      <c r="M617" s="277">
        <v>10325</v>
      </c>
      <c r="N617" s="251" t="str">
        <f t="shared" si="91"/>
        <v/>
      </c>
      <c r="O617" s="251" t="str">
        <f t="shared" si="92"/>
        <v/>
      </c>
      <c r="P617" s="251" t="str">
        <f t="shared" si="93"/>
        <v/>
      </c>
      <c r="Q617" s="251" t="str">
        <f t="shared" si="94"/>
        <v/>
      </c>
      <c r="R617" s="251" t="str">
        <f t="shared" si="95"/>
        <v/>
      </c>
      <c r="S617" s="252" t="str">
        <f t="shared" si="96"/>
        <v/>
      </c>
      <c r="T617" s="253"/>
      <c r="U617" s="278">
        <v>0.20399999999999999</v>
      </c>
      <c r="V617" s="278">
        <v>0.20300000000000001</v>
      </c>
      <c r="W617" s="278">
        <v>0.20200000000000001</v>
      </c>
      <c r="X617" s="278">
        <v>0.19400000000000001</v>
      </c>
      <c r="Y617" s="278">
        <v>0.193</v>
      </c>
      <c r="Z617" s="278">
        <v>0.185</v>
      </c>
      <c r="AA617" s="249"/>
      <c r="AB617" s="279"/>
      <c r="AC617" s="279"/>
      <c r="AD617" s="279"/>
      <c r="AE617" s="279"/>
      <c r="AF617" s="279"/>
      <c r="AG617" s="279"/>
      <c r="AH617" s="249"/>
      <c r="AI617" s="249"/>
      <c r="AJ617" s="249"/>
      <c r="AK617" s="249"/>
      <c r="AL617" s="249"/>
      <c r="AM617" s="249"/>
      <c r="AN617" s="249"/>
      <c r="AO617" s="249"/>
    </row>
    <row r="618" spans="13:41" x14ac:dyDescent="0.35">
      <c r="M618" s="277">
        <v>11389</v>
      </c>
      <c r="N618" s="251" t="str">
        <f t="shared" si="91"/>
        <v/>
      </c>
      <c r="O618" s="251" t="str">
        <f t="shared" si="92"/>
        <v/>
      </c>
      <c r="P618" s="251" t="str">
        <f t="shared" si="93"/>
        <v/>
      </c>
      <c r="Q618" s="251" t="str">
        <f t="shared" si="94"/>
        <v/>
      </c>
      <c r="R618" s="251" t="str">
        <f t="shared" si="95"/>
        <v/>
      </c>
      <c r="S618" s="252" t="str">
        <f t="shared" si="96"/>
        <v/>
      </c>
      <c r="T618" s="253"/>
      <c r="U618" s="278">
        <v>0.21</v>
      </c>
      <c r="V618" s="278">
        <v>0.20899999999999999</v>
      </c>
      <c r="W618" s="278">
        <v>0.20899999999999999</v>
      </c>
      <c r="X618" s="278">
        <v>0.20100000000000001</v>
      </c>
      <c r="Y618" s="278">
        <v>0.2</v>
      </c>
      <c r="Z618" s="278">
        <v>0.191</v>
      </c>
      <c r="AA618" s="249"/>
      <c r="AB618" s="279"/>
      <c r="AC618" s="279"/>
      <c r="AD618" s="279"/>
      <c r="AE618" s="279"/>
      <c r="AF618" s="279"/>
      <c r="AG618" s="279"/>
      <c r="AH618" s="249"/>
      <c r="AI618" s="249"/>
      <c r="AJ618" s="249"/>
      <c r="AK618" s="249"/>
      <c r="AL618" s="249"/>
      <c r="AM618" s="249"/>
      <c r="AN618" s="249"/>
      <c r="AO618" s="249"/>
    </row>
    <row r="619" spans="13:41" x14ac:dyDescent="0.35">
      <c r="M619" s="277">
        <v>13126</v>
      </c>
      <c r="N619" s="251" t="str">
        <f t="shared" si="91"/>
        <v/>
      </c>
      <c r="O619" s="251" t="str">
        <f t="shared" si="92"/>
        <v/>
      </c>
      <c r="P619" s="251" t="str">
        <f t="shared" si="93"/>
        <v/>
      </c>
      <c r="Q619" s="251" t="str">
        <f t="shared" si="94"/>
        <v/>
      </c>
      <c r="R619" s="251" t="str">
        <f t="shared" si="95"/>
        <v/>
      </c>
      <c r="S619" s="252" t="str">
        <f t="shared" si="96"/>
        <v/>
      </c>
      <c r="T619" s="253"/>
      <c r="U619" s="278">
        <v>0.221</v>
      </c>
      <c r="V619" s="278">
        <v>0.22</v>
      </c>
      <c r="W619" s="278">
        <v>0.219</v>
      </c>
      <c r="X619" s="278">
        <v>0.21099999999999999</v>
      </c>
      <c r="Y619" s="278">
        <v>0.20899999999999999</v>
      </c>
      <c r="Z619" s="278">
        <v>0.20200000000000001</v>
      </c>
      <c r="AA619" s="249"/>
      <c r="AB619" s="279"/>
      <c r="AC619" s="279"/>
      <c r="AD619" s="279"/>
      <c r="AE619" s="279"/>
      <c r="AF619" s="279"/>
      <c r="AG619" s="279"/>
      <c r="AH619" s="249"/>
      <c r="AI619" s="249"/>
      <c r="AJ619" s="249"/>
      <c r="AK619" s="249"/>
      <c r="AL619" s="249"/>
      <c r="AM619" s="249"/>
      <c r="AN619" s="249"/>
      <c r="AO619" s="249"/>
    </row>
    <row r="620" spans="13:41" x14ac:dyDescent="0.35">
      <c r="M620" s="277">
        <v>13126</v>
      </c>
      <c r="N620" s="251" t="str">
        <f>IF($R$11&gt;=M619+0.01,U620,"")</f>
        <v/>
      </c>
      <c r="O620" s="251" t="str">
        <f>IF($R$11&gt;=M619,V620,"")</f>
        <v/>
      </c>
      <c r="P620" s="251" t="str">
        <f>IF($R$11&gt;=M619,W620,"")</f>
        <v/>
      </c>
      <c r="Q620" s="251" t="str">
        <f>IF($R$11&gt;=M619,X620,"")</f>
        <v/>
      </c>
      <c r="R620" s="252" t="str">
        <f>IF($R$11&gt;=M619,Y620,"")</f>
        <v/>
      </c>
      <c r="S620" s="251" t="str">
        <f>IF($R$11&gt;=M619,Z620,"")</f>
        <v/>
      </c>
      <c r="T620" s="253"/>
      <c r="U620" s="278">
        <v>0.22700000000000001</v>
      </c>
      <c r="V620" s="278">
        <v>0.22600000000000001</v>
      </c>
      <c r="W620" s="278">
        <v>0.22500000000000001</v>
      </c>
      <c r="X620" s="278">
        <v>0.218</v>
      </c>
      <c r="Y620" s="278">
        <v>0.216</v>
      </c>
      <c r="Z620" s="278">
        <v>0.20799999999999999</v>
      </c>
      <c r="AA620" s="249"/>
      <c r="AB620" s="279"/>
      <c r="AC620" s="279"/>
      <c r="AD620" s="279"/>
      <c r="AE620" s="279"/>
      <c r="AF620" s="279"/>
      <c r="AG620" s="279"/>
      <c r="AH620" s="249"/>
      <c r="AI620" s="249"/>
      <c r="AJ620" s="249"/>
      <c r="AK620" s="249"/>
      <c r="AL620" s="249"/>
      <c r="AM620" s="249"/>
      <c r="AN620" s="249"/>
      <c r="AO620" s="249"/>
    </row>
    <row r="621" spans="13:41" x14ac:dyDescent="0.35">
      <c r="M621" s="249"/>
      <c r="N621" s="280" t="str">
        <f>IF($A$15=2,IF($A$2=5,IF($I$2=0,SUM(N592:N620),""),""),"")</f>
        <v/>
      </c>
      <c r="O621" s="281" t="str">
        <f>IF($A$15=2,IF($A$2=5,IF($I$2=1,SUM(O592:O620),""),""),"")</f>
        <v/>
      </c>
      <c r="P621" s="281" t="str">
        <f>IF($A$15=2,IF($A$2=5,IF($I$2=2,SUM(P592:P620),""),""),"")</f>
        <v/>
      </c>
      <c r="Q621" s="281" t="str">
        <f>IF($A$15=2,IF($A$2=5,IF($I$2=3,SUM(Q592:Q620),""),""),"")</f>
        <v/>
      </c>
      <c r="R621" s="281" t="str">
        <f>IF($A$15=2,IF($A$2=5,IF($I$2=4,SUM(R592:R620),""),""),"")</f>
        <v/>
      </c>
      <c r="S621" s="282" t="str">
        <f>IF($A$15=2,IF($A$2=5,IF($I$2=5,SUM(S592:S620),""),""),"")</f>
        <v/>
      </c>
      <c r="T621" s="260">
        <f>SUM(N621:S621)</f>
        <v>0</v>
      </c>
      <c r="U621" s="253"/>
      <c r="V621" s="253"/>
      <c r="W621" s="253"/>
      <c r="X621" s="253"/>
      <c r="Y621" s="253"/>
      <c r="Z621" s="253"/>
      <c r="AA621" s="249"/>
      <c r="AB621" s="279"/>
      <c r="AC621" s="279"/>
      <c r="AD621" s="279"/>
      <c r="AE621" s="279"/>
      <c r="AF621" s="279"/>
      <c r="AG621" s="279"/>
      <c r="AH621" s="249"/>
      <c r="AI621" s="249"/>
      <c r="AJ621" s="249"/>
      <c r="AK621" s="249"/>
      <c r="AL621" s="249"/>
      <c r="AM621" s="249"/>
      <c r="AN621" s="249"/>
      <c r="AO621" s="249"/>
    </row>
    <row r="622" spans="13:41" x14ac:dyDescent="0.35">
      <c r="M622" s="249"/>
      <c r="N622" s="249"/>
      <c r="O622" s="249"/>
      <c r="P622" s="249"/>
      <c r="Q622" s="249"/>
      <c r="R622" s="249"/>
      <c r="S622" s="249"/>
      <c r="T622" s="253"/>
      <c r="U622" s="253"/>
      <c r="V622" s="253"/>
      <c r="W622" s="253"/>
      <c r="X622" s="253"/>
      <c r="Y622" s="253"/>
      <c r="Z622" s="253"/>
      <c r="AA622" s="249"/>
      <c r="AB622" s="249"/>
      <c r="AC622" s="249"/>
      <c r="AD622" s="249"/>
      <c r="AE622" s="249"/>
      <c r="AF622" s="249"/>
      <c r="AG622" s="249"/>
      <c r="AH622" s="249"/>
      <c r="AI622" s="249"/>
      <c r="AJ622" s="249"/>
      <c r="AK622" s="249"/>
      <c r="AL622" s="249"/>
      <c r="AM622" s="249"/>
      <c r="AN622" s="249"/>
      <c r="AO622" s="249"/>
    </row>
    <row r="623" spans="13:41" x14ac:dyDescent="0.35">
      <c r="M623" s="249"/>
      <c r="N623" s="249"/>
      <c r="O623" s="249"/>
      <c r="P623" s="249"/>
      <c r="Q623" s="249"/>
      <c r="R623" s="249"/>
      <c r="S623" s="249"/>
      <c r="T623" s="253"/>
      <c r="U623" s="253"/>
      <c r="V623" s="253"/>
      <c r="W623" s="253"/>
      <c r="X623" s="253"/>
      <c r="Y623" s="253"/>
      <c r="Z623" s="253"/>
      <c r="AA623" s="249"/>
      <c r="AB623" s="249"/>
      <c r="AC623" s="249"/>
      <c r="AD623" s="249"/>
      <c r="AE623" s="249"/>
      <c r="AF623" s="249"/>
      <c r="AG623" s="249"/>
      <c r="AH623" s="249"/>
      <c r="AI623" s="249"/>
      <c r="AJ623" s="249"/>
      <c r="AK623" s="249"/>
      <c r="AL623" s="249"/>
      <c r="AM623" s="249"/>
      <c r="AN623" s="249"/>
      <c r="AO623" s="249"/>
    </row>
    <row r="624" spans="13:41" x14ac:dyDescent="0.35">
      <c r="M624" s="249"/>
      <c r="N624" s="249"/>
      <c r="O624" s="249"/>
      <c r="P624" s="249"/>
      <c r="Q624" s="249"/>
      <c r="R624" s="249"/>
      <c r="S624" s="249"/>
      <c r="T624" s="253"/>
      <c r="U624" s="253"/>
      <c r="V624" s="253"/>
      <c r="W624" s="253"/>
      <c r="X624" s="253"/>
      <c r="Y624" s="253"/>
      <c r="Z624" s="253"/>
      <c r="AA624" s="249"/>
      <c r="AB624" s="249"/>
      <c r="AC624" s="249"/>
      <c r="AD624" s="249"/>
      <c r="AE624" s="249"/>
      <c r="AF624" s="249"/>
      <c r="AG624" s="249"/>
      <c r="AH624" s="249"/>
      <c r="AI624" s="249"/>
      <c r="AJ624" s="249"/>
      <c r="AK624" s="249"/>
      <c r="AL624" s="249"/>
      <c r="AM624" s="249"/>
      <c r="AN624" s="249"/>
      <c r="AO624" s="249"/>
    </row>
    <row r="625" spans="13:41" x14ac:dyDescent="0.35">
      <c r="M625" s="263" t="s">
        <v>214</v>
      </c>
      <c r="N625" s="272"/>
      <c r="O625" s="273" t="s">
        <v>256</v>
      </c>
      <c r="P625" s="283"/>
      <c r="Q625" s="273"/>
      <c r="R625" s="273"/>
      <c r="S625" s="273"/>
      <c r="T625" s="253"/>
      <c r="U625" s="275" t="str">
        <f>O625</f>
        <v>Tabelas de IRS de retenção na fonte referente a 2022 nos Açores</v>
      </c>
      <c r="V625" s="253"/>
      <c r="W625" s="253"/>
      <c r="X625" s="253"/>
      <c r="Y625" s="253"/>
      <c r="Z625" s="253"/>
      <c r="AA625" s="249"/>
      <c r="AB625" s="249"/>
      <c r="AC625" s="249"/>
      <c r="AD625" s="249"/>
      <c r="AE625" s="249"/>
      <c r="AF625" s="249"/>
      <c r="AG625" s="249"/>
      <c r="AH625" s="249"/>
      <c r="AI625" s="249"/>
      <c r="AJ625" s="249"/>
      <c r="AK625" s="249"/>
      <c r="AL625" s="249"/>
      <c r="AM625" s="249"/>
      <c r="AN625" s="249"/>
      <c r="AO625" s="249"/>
    </row>
    <row r="626" spans="13:41" x14ac:dyDescent="0.35">
      <c r="M626" s="273"/>
      <c r="N626" s="273"/>
      <c r="O626" s="273" t="s">
        <v>191</v>
      </c>
      <c r="P626" s="273"/>
      <c r="Q626" s="273"/>
      <c r="R626" s="273"/>
      <c r="S626" s="273"/>
      <c r="T626" s="253"/>
      <c r="U626" s="275" t="str">
        <f>O626</f>
        <v>T A B E L A  VI - TRABALHO DEPENDENTE</v>
      </c>
      <c r="V626" s="253"/>
      <c r="W626" s="253"/>
      <c r="X626" s="253"/>
      <c r="Y626" s="253"/>
      <c r="Z626" s="253"/>
      <c r="AA626" s="249"/>
      <c r="AB626" s="249"/>
      <c r="AC626" s="249"/>
      <c r="AD626" s="249"/>
      <c r="AE626" s="249"/>
      <c r="AF626" s="249"/>
      <c r="AG626" s="249"/>
      <c r="AH626" s="249"/>
      <c r="AI626" s="249"/>
      <c r="AJ626" s="249"/>
      <c r="AK626" s="249"/>
      <c r="AL626" s="249"/>
      <c r="AM626" s="249"/>
      <c r="AN626" s="249"/>
      <c r="AO626" s="249"/>
    </row>
    <row r="627" spans="13:41" x14ac:dyDescent="0.35">
      <c r="M627" s="273"/>
      <c r="N627" s="273"/>
      <c r="O627" s="273" t="s">
        <v>195</v>
      </c>
      <c r="P627" s="273"/>
      <c r="Q627" s="273"/>
      <c r="R627" s="273"/>
      <c r="S627" s="273"/>
      <c r="T627" s="253"/>
      <c r="U627" s="275" t="str">
        <f>O627</f>
        <v>2 titulares deficiente</v>
      </c>
      <c r="V627" s="253"/>
      <c r="W627" s="253"/>
      <c r="X627" s="253"/>
      <c r="Y627" s="253"/>
      <c r="Z627" s="253"/>
      <c r="AA627" s="249"/>
      <c r="AB627" s="249"/>
      <c r="AC627" s="249"/>
      <c r="AD627" s="249"/>
      <c r="AE627" s="249"/>
      <c r="AF627" s="249"/>
      <c r="AG627" s="249"/>
      <c r="AH627" s="249"/>
      <c r="AI627" s="249"/>
      <c r="AJ627" s="249"/>
      <c r="AK627" s="249"/>
      <c r="AL627" s="249"/>
      <c r="AM627" s="249"/>
      <c r="AN627" s="249"/>
      <c r="AO627" s="249"/>
    </row>
    <row r="628" spans="13:41" x14ac:dyDescent="0.35">
      <c r="M628" s="268" t="s">
        <v>154</v>
      </c>
      <c r="N628" s="268" t="s">
        <v>155</v>
      </c>
      <c r="O628" s="268" t="s">
        <v>156</v>
      </c>
      <c r="P628" s="268" t="s">
        <v>157</v>
      </c>
      <c r="Q628" s="268" t="s">
        <v>158</v>
      </c>
      <c r="R628" s="268" t="s">
        <v>159</v>
      </c>
      <c r="S628" s="268" t="s">
        <v>160</v>
      </c>
      <c r="T628" s="253"/>
      <c r="U628" s="292" t="s">
        <v>155</v>
      </c>
      <c r="V628" s="292" t="s">
        <v>156</v>
      </c>
      <c r="W628" s="292" t="s">
        <v>157</v>
      </c>
      <c r="X628" s="292" t="s">
        <v>158</v>
      </c>
      <c r="Y628" s="292" t="s">
        <v>159</v>
      </c>
      <c r="Z628" s="292" t="s">
        <v>160</v>
      </c>
      <c r="AA628" s="249"/>
      <c r="AB628" s="249"/>
      <c r="AC628" s="249"/>
      <c r="AD628" s="249"/>
      <c r="AE628" s="249"/>
      <c r="AF628" s="249"/>
      <c r="AG628" s="249"/>
      <c r="AH628" s="249"/>
      <c r="AI628" s="249"/>
      <c r="AJ628" s="249"/>
      <c r="AK628" s="249"/>
      <c r="AL628" s="249"/>
      <c r="AM628" s="249"/>
      <c r="AN628" s="249"/>
      <c r="AO628" s="249"/>
    </row>
    <row r="629" spans="13:41" x14ac:dyDescent="0.35">
      <c r="M629" s="277">
        <v>1322</v>
      </c>
      <c r="N629" s="251" t="str">
        <f>IF($R$11&lt;=M629,IF($R$11&gt;=0,0,""),"")</f>
        <v/>
      </c>
      <c r="O629" s="251" t="str">
        <f>IF($R$11&lt;=M629,IF($R$11&gt;=0,0,""),"")</f>
        <v/>
      </c>
      <c r="P629" s="251" t="str">
        <f>IF($R$11&lt;=M629,IF($R$11&gt;=0,0,""),"")</f>
        <v/>
      </c>
      <c r="Q629" s="251" t="str">
        <f>IF($R$11&lt;=M629,IF($R$11&gt;=0,0,""),"")</f>
        <v/>
      </c>
      <c r="R629" s="251" t="str">
        <f>IF($R$11&lt;=M629,IF($R$11&gt;=0,0,""),"")</f>
        <v/>
      </c>
      <c r="S629" s="251" t="str">
        <f>IF($R$11&lt;=M629,IF($R$11&gt;=0,0,""),"")</f>
        <v/>
      </c>
      <c r="T629" s="253"/>
      <c r="U629" s="278">
        <v>0</v>
      </c>
      <c r="V629" s="278">
        <v>0</v>
      </c>
      <c r="W629" s="278">
        <v>0</v>
      </c>
      <c r="X629" s="278">
        <v>0</v>
      </c>
      <c r="Y629" s="278">
        <v>0</v>
      </c>
      <c r="Z629" s="278">
        <v>0</v>
      </c>
      <c r="AA629" s="249"/>
      <c r="AB629" s="249"/>
      <c r="AC629" s="249"/>
      <c r="AD629" s="249"/>
      <c r="AE629" s="249"/>
      <c r="AF629" s="249"/>
      <c r="AG629" s="249"/>
      <c r="AH629" s="249"/>
      <c r="AI629" s="249"/>
      <c r="AJ629" s="249"/>
      <c r="AK629" s="249"/>
      <c r="AL629" s="249"/>
      <c r="AM629" s="249"/>
      <c r="AN629" s="249"/>
      <c r="AO629" s="249"/>
    </row>
    <row r="630" spans="13:41" x14ac:dyDescent="0.35">
      <c r="M630" s="277">
        <v>1427</v>
      </c>
      <c r="N630" s="251" t="str">
        <f t="shared" ref="N630:N657" si="97">IF($R$11&lt;=M630,IF($R$11&gt;=M629+0.01,U630,""),"")</f>
        <v/>
      </c>
      <c r="O630" s="251" t="str">
        <f t="shared" ref="O630:O657" si="98">IF($R$11&lt;=M630,IF($R$11&gt;=M629+0.01,V630,""),"")</f>
        <v/>
      </c>
      <c r="P630" s="251" t="str">
        <f t="shared" ref="P630:P657" si="99">IF($R$11&lt;=M630,IF($R$11&gt;=M629+0.01,W630,""),"")</f>
        <v/>
      </c>
      <c r="Q630" s="251" t="str">
        <f t="shared" ref="Q630:Q657" si="100">IF($R$11&lt;=M630,IF($R$11&gt;=M629+0.01,X630,""),"")</f>
        <v/>
      </c>
      <c r="R630" s="251" t="str">
        <f t="shared" ref="R630:R657" si="101">IF($R$11&lt;=M630,IF($R$11&gt;=M629+0.01,Y630,""),"")</f>
        <v/>
      </c>
      <c r="S630" s="252" t="str">
        <f t="shared" ref="S630:S657" si="102">IF($R$11&lt;=M630,IF($R$11&gt;=M629+0.01,Z630,""),"")</f>
        <v/>
      </c>
      <c r="T630" s="253"/>
      <c r="U630" s="278">
        <v>8.0000000000000002E-3</v>
      </c>
      <c r="V630" s="278">
        <v>0</v>
      </c>
      <c r="W630" s="278">
        <v>0</v>
      </c>
      <c r="X630" s="278">
        <v>0</v>
      </c>
      <c r="Y630" s="278">
        <v>0</v>
      </c>
      <c r="Z630" s="278">
        <v>0</v>
      </c>
      <c r="AA630" s="249"/>
      <c r="AB630" s="279"/>
      <c r="AC630" s="279"/>
      <c r="AD630" s="279"/>
      <c r="AE630" s="279"/>
      <c r="AF630" s="279"/>
      <c r="AG630" s="279"/>
      <c r="AH630" s="249"/>
      <c r="AI630" s="249"/>
      <c r="AJ630" s="249"/>
      <c r="AK630" s="249"/>
      <c r="AL630" s="249"/>
      <c r="AM630" s="249"/>
      <c r="AN630" s="249"/>
      <c r="AO630" s="249"/>
    </row>
    <row r="631" spans="13:41" x14ac:dyDescent="0.35">
      <c r="M631" s="277">
        <v>1469</v>
      </c>
      <c r="N631" s="251" t="str">
        <f>IF($R$11&lt;=M631,IF($R$11&gt;=M630+0.01,U631,""),"")</f>
        <v/>
      </c>
      <c r="O631" s="251" t="str">
        <f>IF($R$11&lt;=M631,IF($R$11&gt;=M630+0.01,V631,""),"")</f>
        <v/>
      </c>
      <c r="P631" s="251" t="str">
        <f>IF($R$11&lt;=M631,IF($R$11&gt;=M630+0.01,W631,""),"")</f>
        <v/>
      </c>
      <c r="Q631" s="251" t="str">
        <f>IF($R$11&lt;=M631,IF($R$11&gt;=M630+0.01,X631,""),"")</f>
        <v/>
      </c>
      <c r="R631" s="251" t="str">
        <f>IF($R$11&lt;=M631,IF($R$11&gt;=M630+0.01,Y631,""),"")</f>
        <v/>
      </c>
      <c r="S631" s="252" t="str">
        <f>IF($R$11&lt;=M631,IF($R$11&gt;=M630+0.01,Z631,""),"")</f>
        <v/>
      </c>
      <c r="T631" s="253"/>
      <c r="U631" s="278">
        <v>2.5000000000000001E-2</v>
      </c>
      <c r="V631" s="278">
        <v>0.02</v>
      </c>
      <c r="W631" s="278">
        <v>0</v>
      </c>
      <c r="X631" s="278">
        <v>0</v>
      </c>
      <c r="Y631" s="278">
        <v>0</v>
      </c>
      <c r="Z631" s="278">
        <v>0</v>
      </c>
      <c r="AA631" s="249"/>
      <c r="AB631" s="279"/>
      <c r="AC631" s="279"/>
      <c r="AD631" s="279"/>
      <c r="AE631" s="279"/>
      <c r="AF631" s="279"/>
      <c r="AG631" s="279"/>
      <c r="AH631" s="249"/>
      <c r="AI631" s="249"/>
      <c r="AJ631" s="249"/>
      <c r="AK631" s="249"/>
      <c r="AL631" s="249"/>
      <c r="AM631" s="249"/>
      <c r="AN631" s="249"/>
      <c r="AO631" s="249"/>
    </row>
    <row r="632" spans="13:41" x14ac:dyDescent="0.35">
      <c r="M632" s="277">
        <v>1654</v>
      </c>
      <c r="N632" s="251">
        <f>IF($R$11&lt;=M632,IF($R$11&gt;=M631+0.01,U632,""),"")</f>
        <v>3.2000000000000001E-2</v>
      </c>
      <c r="O632" s="251">
        <f>IF($R$11&lt;=M632,IF($R$11&gt;=M631+0.01,V632,""),"")</f>
        <v>2.7E-2</v>
      </c>
      <c r="P632" s="251">
        <f>IF($R$11&lt;=M632,IF($R$11&gt;=M631+0.01,W632,""),"")</f>
        <v>1.2999999999999999E-2</v>
      </c>
      <c r="Q632" s="251">
        <f>IF($R$11&lt;=M632,IF($R$11&gt;=M631+0.01,X632,""),"")</f>
        <v>0</v>
      </c>
      <c r="R632" s="251">
        <f>IF($R$11&lt;=M632,IF($R$11&gt;=M631+0.01,Y632,""),"")</f>
        <v>0</v>
      </c>
      <c r="S632" s="252">
        <f>IF($R$11&lt;=M632,IF($R$11&gt;=M631+0.01,Z632,""),"")</f>
        <v>0</v>
      </c>
      <c r="T632" s="253"/>
      <c r="U632" s="278">
        <v>3.2000000000000001E-2</v>
      </c>
      <c r="V632" s="278">
        <v>2.7E-2</v>
      </c>
      <c r="W632" s="278">
        <v>1.2999999999999999E-2</v>
      </c>
      <c r="X632" s="278">
        <v>0</v>
      </c>
      <c r="Y632" s="278">
        <v>0</v>
      </c>
      <c r="Z632" s="278">
        <v>0</v>
      </c>
      <c r="AA632" s="249"/>
      <c r="AB632" s="279"/>
      <c r="AC632" s="279"/>
      <c r="AD632" s="279"/>
      <c r="AE632" s="279"/>
      <c r="AF632" s="279"/>
      <c r="AG632" s="279"/>
      <c r="AH632" s="249"/>
      <c r="AI632" s="249"/>
      <c r="AJ632" s="249"/>
      <c r="AK632" s="249"/>
      <c r="AL632" s="249"/>
      <c r="AM632" s="249"/>
      <c r="AN632" s="249"/>
      <c r="AO632" s="249"/>
    </row>
    <row r="633" spans="13:41" x14ac:dyDescent="0.35">
      <c r="M633" s="277">
        <v>1974</v>
      </c>
      <c r="N633" s="251" t="str">
        <f>IF($R$11&lt;=M633,IF($R$11&gt;=M632+0.01,U633,""),"")</f>
        <v/>
      </c>
      <c r="O633" s="251" t="str">
        <f>IF($R$11&lt;=M633,IF($R$11&gt;=M632+0.01,V633,""),"")</f>
        <v/>
      </c>
      <c r="P633" s="251" t="str">
        <f>IF($R$11&lt;=M633,IF($R$11&gt;=M632+0.01,W633,""),"")</f>
        <v/>
      </c>
      <c r="Q633" s="251" t="str">
        <f>IF($R$11&lt;=M633,IF($R$11&gt;=M632+0.01,X633,""),"")</f>
        <v/>
      </c>
      <c r="R633" s="251" t="str">
        <f>IF($R$11&lt;=M633,IF($R$11&gt;=M632+0.01,Y633,""),"")</f>
        <v/>
      </c>
      <c r="S633" s="252" t="str">
        <f>IF($R$11&lt;=M633,IF($R$11&gt;=M632+0.01,Z633,""),"")</f>
        <v/>
      </c>
      <c r="T633" s="253"/>
      <c r="U633" s="278">
        <v>4.5999999999999999E-2</v>
      </c>
      <c r="V633" s="278">
        <v>4.1000000000000002E-2</v>
      </c>
      <c r="W633" s="278">
        <v>2.9000000000000001E-2</v>
      </c>
      <c r="X633" s="278">
        <v>1.6E-2</v>
      </c>
      <c r="Y633" s="278">
        <v>1.0999999999999999E-2</v>
      </c>
      <c r="Z633" s="278">
        <v>0</v>
      </c>
      <c r="AA633" s="249"/>
      <c r="AB633" s="279"/>
      <c r="AC633" s="279"/>
      <c r="AD633" s="279"/>
      <c r="AE633" s="279"/>
      <c r="AF633" s="279"/>
      <c r="AG633" s="279"/>
      <c r="AH633" s="249"/>
      <c r="AI633" s="249"/>
      <c r="AJ633" s="249"/>
      <c r="AK633" s="249"/>
      <c r="AL633" s="249"/>
      <c r="AM633" s="249"/>
      <c r="AN633" s="249"/>
      <c r="AO633" s="249"/>
    </row>
    <row r="634" spans="13:41" x14ac:dyDescent="0.35">
      <c r="M634" s="277">
        <v>2098</v>
      </c>
      <c r="N634" s="251" t="str">
        <f t="shared" si="97"/>
        <v/>
      </c>
      <c r="O634" s="251" t="str">
        <f t="shared" si="98"/>
        <v/>
      </c>
      <c r="P634" s="251" t="str">
        <f t="shared" si="99"/>
        <v/>
      </c>
      <c r="Q634" s="251" t="str">
        <f t="shared" si="100"/>
        <v/>
      </c>
      <c r="R634" s="251" t="str">
        <f t="shared" si="101"/>
        <v/>
      </c>
      <c r="S634" s="252" t="str">
        <f t="shared" si="102"/>
        <v/>
      </c>
      <c r="T634" s="253"/>
      <c r="U634" s="278">
        <v>5.6000000000000001E-2</v>
      </c>
      <c r="V634" s="278">
        <v>5.1999999999999998E-2</v>
      </c>
      <c r="W634" s="278">
        <v>3.9E-2</v>
      </c>
      <c r="X634" s="278">
        <v>2.7E-2</v>
      </c>
      <c r="Y634" s="278">
        <v>2.1000000000000001E-2</v>
      </c>
      <c r="Z634" s="278">
        <v>1.4999999999999999E-2</v>
      </c>
      <c r="AA634" s="249"/>
      <c r="AB634" s="279"/>
      <c r="AC634" s="279"/>
      <c r="AD634" s="279"/>
      <c r="AE634" s="279"/>
      <c r="AF634" s="279"/>
      <c r="AG634" s="279"/>
      <c r="AH634" s="249"/>
      <c r="AI634" s="249"/>
      <c r="AJ634" s="249"/>
      <c r="AK634" s="249"/>
      <c r="AL634" s="249"/>
      <c r="AM634" s="249"/>
      <c r="AN634" s="249"/>
      <c r="AO634" s="249"/>
    </row>
    <row r="635" spans="13:41" x14ac:dyDescent="0.35">
      <c r="M635" s="277">
        <v>2233</v>
      </c>
      <c r="N635" s="251" t="str">
        <f t="shared" si="97"/>
        <v/>
      </c>
      <c r="O635" s="251" t="str">
        <f t="shared" si="98"/>
        <v/>
      </c>
      <c r="P635" s="251" t="str">
        <f t="shared" si="99"/>
        <v/>
      </c>
      <c r="Q635" s="251" t="str">
        <f t="shared" si="100"/>
        <v/>
      </c>
      <c r="R635" s="251" t="str">
        <f t="shared" si="101"/>
        <v/>
      </c>
      <c r="S635" s="252" t="str">
        <f t="shared" si="102"/>
        <v/>
      </c>
      <c r="T635" s="253"/>
      <c r="U635" s="278">
        <v>6.9000000000000006E-2</v>
      </c>
      <c r="V635" s="278">
        <v>5.8000000000000003E-2</v>
      </c>
      <c r="W635" s="278">
        <v>5.2999999999999999E-2</v>
      </c>
      <c r="X635" s="278">
        <v>0.04</v>
      </c>
      <c r="Y635" s="278">
        <v>2.8000000000000001E-2</v>
      </c>
      <c r="Z635" s="278">
        <v>2.1999999999999999E-2</v>
      </c>
      <c r="AA635" s="249"/>
      <c r="AB635" s="279"/>
      <c r="AC635" s="279"/>
      <c r="AD635" s="279"/>
      <c r="AE635" s="279"/>
      <c r="AF635" s="279"/>
      <c r="AG635" s="279"/>
      <c r="AH635" s="249"/>
      <c r="AI635" s="249"/>
      <c r="AJ635" s="249"/>
      <c r="AK635" s="249"/>
      <c r="AL635" s="249"/>
      <c r="AM635" s="249"/>
      <c r="AN635" s="249"/>
      <c r="AO635" s="249"/>
    </row>
    <row r="636" spans="13:41" x14ac:dyDescent="0.35">
      <c r="M636" s="277">
        <v>2335</v>
      </c>
      <c r="N636" s="251" t="str">
        <f t="shared" si="97"/>
        <v/>
      </c>
      <c r="O636" s="251" t="str">
        <f t="shared" si="98"/>
        <v/>
      </c>
      <c r="P636" s="251" t="str">
        <f t="shared" si="99"/>
        <v/>
      </c>
      <c r="Q636" s="251" t="str">
        <f t="shared" si="100"/>
        <v/>
      </c>
      <c r="R636" s="251" t="str">
        <f t="shared" si="101"/>
        <v/>
      </c>
      <c r="S636" s="252" t="str">
        <f t="shared" si="102"/>
        <v/>
      </c>
      <c r="T636" s="253"/>
      <c r="U636" s="278">
        <v>8.5999999999999993E-2</v>
      </c>
      <c r="V636" s="278">
        <v>7.4999999999999997E-2</v>
      </c>
      <c r="W636" s="278">
        <v>6.3E-2</v>
      </c>
      <c r="X636" s="278">
        <v>5.0999999999999997E-2</v>
      </c>
      <c r="Y636" s="278">
        <v>4.4999999999999998E-2</v>
      </c>
      <c r="Z636" s="278">
        <v>3.9E-2</v>
      </c>
      <c r="AA636" s="249"/>
      <c r="AB636" s="279"/>
      <c r="AC636" s="279"/>
      <c r="AD636" s="279"/>
      <c r="AE636" s="279"/>
      <c r="AF636" s="279"/>
      <c r="AG636" s="279"/>
      <c r="AH636" s="249"/>
      <c r="AI636" s="249"/>
      <c r="AJ636" s="249"/>
      <c r="AK636" s="249"/>
      <c r="AL636" s="249"/>
      <c r="AM636" s="249"/>
      <c r="AN636" s="249"/>
      <c r="AO636" s="249"/>
    </row>
    <row r="637" spans="13:41" x14ac:dyDescent="0.35">
      <c r="M637" s="277">
        <v>2502</v>
      </c>
      <c r="N637" s="251" t="str">
        <f t="shared" si="97"/>
        <v/>
      </c>
      <c r="O637" s="251" t="str">
        <f t="shared" si="98"/>
        <v/>
      </c>
      <c r="P637" s="251" t="str">
        <f t="shared" si="99"/>
        <v/>
      </c>
      <c r="Q637" s="251" t="str">
        <f t="shared" si="100"/>
        <v/>
      </c>
      <c r="R637" s="251" t="str">
        <f t="shared" si="101"/>
        <v/>
      </c>
      <c r="S637" s="252" t="str">
        <f t="shared" si="102"/>
        <v/>
      </c>
      <c r="T637" s="253"/>
      <c r="U637" s="278">
        <v>0.1</v>
      </c>
      <c r="V637" s="278">
        <v>8.7999999999999995E-2</v>
      </c>
      <c r="W637" s="278">
        <v>7.5999999999999998E-2</v>
      </c>
      <c r="X637" s="278">
        <v>6.4000000000000001E-2</v>
      </c>
      <c r="Y637" s="278">
        <v>5.1999999999999998E-2</v>
      </c>
      <c r="Z637" s="278">
        <v>4.5999999999999999E-2</v>
      </c>
      <c r="AA637" s="249"/>
      <c r="AB637" s="279"/>
      <c r="AC637" s="279"/>
      <c r="AD637" s="279"/>
      <c r="AE637" s="279"/>
      <c r="AF637" s="279"/>
      <c r="AG637" s="279"/>
      <c r="AH637" s="249"/>
      <c r="AI637" s="249"/>
      <c r="AJ637" s="249"/>
      <c r="AK637" s="249"/>
      <c r="AL637" s="249"/>
      <c r="AM637" s="249"/>
      <c r="AN637" s="249"/>
      <c r="AO637" s="249"/>
    </row>
    <row r="638" spans="13:41" x14ac:dyDescent="0.35">
      <c r="M638" s="277">
        <v>2585</v>
      </c>
      <c r="N638" s="251" t="str">
        <f t="shared" si="97"/>
        <v/>
      </c>
      <c r="O638" s="251" t="str">
        <f t="shared" si="98"/>
        <v/>
      </c>
      <c r="P638" s="251" t="str">
        <f t="shared" si="99"/>
        <v/>
      </c>
      <c r="Q638" s="251" t="str">
        <f t="shared" si="100"/>
        <v/>
      </c>
      <c r="R638" s="251" t="str">
        <f t="shared" si="101"/>
        <v/>
      </c>
      <c r="S638" s="252" t="str">
        <f t="shared" si="102"/>
        <v/>
      </c>
      <c r="T638" s="253"/>
      <c r="U638" s="278">
        <v>0.106</v>
      </c>
      <c r="V638" s="278">
        <v>9.5000000000000001E-2</v>
      </c>
      <c r="W638" s="278">
        <v>0.09</v>
      </c>
      <c r="X638" s="278">
        <v>7.8E-2</v>
      </c>
      <c r="Y638" s="278">
        <v>6.6000000000000003E-2</v>
      </c>
      <c r="Z638" s="278">
        <v>0.06</v>
      </c>
      <c r="AA638" s="249"/>
      <c r="AB638" s="279"/>
      <c r="AC638" s="279"/>
      <c r="AD638" s="279"/>
      <c r="AE638" s="279"/>
      <c r="AF638" s="279"/>
      <c r="AG638" s="279"/>
      <c r="AH638" s="249"/>
      <c r="AI638" s="249"/>
      <c r="AJ638" s="249"/>
      <c r="AK638" s="249"/>
      <c r="AL638" s="249"/>
      <c r="AM638" s="249"/>
      <c r="AN638" s="249"/>
      <c r="AO638" s="249"/>
    </row>
    <row r="639" spans="13:41" x14ac:dyDescent="0.35">
      <c r="M639" s="277">
        <v>2687</v>
      </c>
      <c r="N639" s="251" t="str">
        <f t="shared" si="97"/>
        <v/>
      </c>
      <c r="O639" s="251" t="str">
        <f t="shared" si="98"/>
        <v/>
      </c>
      <c r="P639" s="251" t="str">
        <f t="shared" si="99"/>
        <v/>
      </c>
      <c r="Q639" s="251" t="str">
        <f t="shared" si="100"/>
        <v/>
      </c>
      <c r="R639" s="251" t="str">
        <f t="shared" si="101"/>
        <v/>
      </c>
      <c r="S639" s="252" t="str">
        <f t="shared" si="102"/>
        <v/>
      </c>
      <c r="T639" s="253"/>
      <c r="U639" s="278">
        <v>0.114</v>
      </c>
      <c r="V639" s="278">
        <v>0.10199999999999999</v>
      </c>
      <c r="W639" s="278">
        <v>9.7000000000000003E-2</v>
      </c>
      <c r="X639" s="278">
        <v>8.5000000000000006E-2</v>
      </c>
      <c r="Y639" s="278">
        <v>7.2999999999999995E-2</v>
      </c>
      <c r="Z639" s="278">
        <v>6.7000000000000004E-2</v>
      </c>
      <c r="AA639" s="249"/>
      <c r="AB639" s="279"/>
      <c r="AC639" s="279"/>
      <c r="AD639" s="279"/>
      <c r="AE639" s="279"/>
      <c r="AF639" s="279"/>
      <c r="AG639" s="279"/>
      <c r="AH639" s="249"/>
      <c r="AI639" s="249"/>
      <c r="AJ639" s="249"/>
      <c r="AK639" s="249"/>
      <c r="AL639" s="249"/>
      <c r="AM639" s="249"/>
      <c r="AN639" s="249"/>
      <c r="AO639" s="249"/>
    </row>
    <row r="640" spans="13:41" x14ac:dyDescent="0.35">
      <c r="M640" s="277">
        <v>2956</v>
      </c>
      <c r="N640" s="251" t="str">
        <f t="shared" si="97"/>
        <v/>
      </c>
      <c r="O640" s="251" t="str">
        <f t="shared" si="98"/>
        <v/>
      </c>
      <c r="P640" s="251" t="str">
        <f t="shared" si="99"/>
        <v/>
      </c>
      <c r="Q640" s="251" t="str">
        <f t="shared" si="100"/>
        <v/>
      </c>
      <c r="R640" s="251" t="str">
        <f t="shared" si="101"/>
        <v/>
      </c>
      <c r="S640" s="252" t="str">
        <f t="shared" si="102"/>
        <v/>
      </c>
      <c r="T640" s="253"/>
      <c r="U640" s="278">
        <v>0.12</v>
      </c>
      <c r="V640" s="278">
        <v>0.109</v>
      </c>
      <c r="W640" s="278">
        <v>0.104</v>
      </c>
      <c r="X640" s="278">
        <v>9.1999999999999998E-2</v>
      </c>
      <c r="Y640" s="278">
        <v>0.08</v>
      </c>
      <c r="Z640" s="278">
        <v>7.3999999999999996E-2</v>
      </c>
      <c r="AA640" s="249"/>
      <c r="AB640" s="279"/>
      <c r="AC640" s="279"/>
      <c r="AD640" s="279"/>
      <c r="AE640" s="279"/>
      <c r="AF640" s="279"/>
      <c r="AG640" s="279"/>
      <c r="AH640" s="249"/>
      <c r="AI640" s="249"/>
      <c r="AJ640" s="249"/>
      <c r="AK640" s="249"/>
      <c r="AL640" s="249"/>
      <c r="AM640" s="249"/>
      <c r="AN640" s="249"/>
      <c r="AO640" s="249"/>
    </row>
    <row r="641" spans="13:41" x14ac:dyDescent="0.35">
      <c r="M641" s="277">
        <v>3277</v>
      </c>
      <c r="N641" s="251" t="str">
        <f t="shared" si="97"/>
        <v/>
      </c>
      <c r="O641" s="251" t="str">
        <f t="shared" si="98"/>
        <v/>
      </c>
      <c r="P641" s="251" t="str">
        <f t="shared" si="99"/>
        <v/>
      </c>
      <c r="Q641" s="251" t="str">
        <f t="shared" si="100"/>
        <v/>
      </c>
      <c r="R641" s="251" t="str">
        <f t="shared" si="101"/>
        <v/>
      </c>
      <c r="S641" s="252" t="str">
        <f t="shared" si="102"/>
        <v/>
      </c>
      <c r="T641" s="253"/>
      <c r="U641" s="278">
        <v>0.128</v>
      </c>
      <c r="V641" s="278">
        <v>0.12</v>
      </c>
      <c r="W641" s="278">
        <v>0.11700000000000001</v>
      </c>
      <c r="X641" s="278">
        <v>0.107</v>
      </c>
      <c r="Y641" s="278">
        <v>9.8000000000000004E-2</v>
      </c>
      <c r="Z641" s="278">
        <v>9.5000000000000001E-2</v>
      </c>
      <c r="AA641" s="249"/>
      <c r="AB641" s="279"/>
      <c r="AC641" s="279"/>
      <c r="AD641" s="279"/>
      <c r="AE641" s="279"/>
      <c r="AF641" s="279"/>
      <c r="AG641" s="279"/>
      <c r="AH641" s="249"/>
      <c r="AI641" s="249"/>
      <c r="AJ641" s="249"/>
      <c r="AK641" s="249"/>
      <c r="AL641" s="249"/>
      <c r="AM641" s="249"/>
      <c r="AN641" s="249"/>
      <c r="AO641" s="249"/>
    </row>
    <row r="642" spans="13:41" x14ac:dyDescent="0.35">
      <c r="M642" s="277">
        <v>3618</v>
      </c>
      <c r="N642" s="251" t="str">
        <f t="shared" si="97"/>
        <v/>
      </c>
      <c r="O642" s="251" t="str">
        <f t="shared" si="98"/>
        <v/>
      </c>
      <c r="P642" s="251" t="str">
        <f t="shared" si="99"/>
        <v/>
      </c>
      <c r="Q642" s="251" t="str">
        <f t="shared" si="100"/>
        <v/>
      </c>
      <c r="R642" s="251" t="str">
        <f t="shared" si="101"/>
        <v/>
      </c>
      <c r="S642" s="252" t="str">
        <f t="shared" si="102"/>
        <v/>
      </c>
      <c r="T642" s="253"/>
      <c r="U642" s="278">
        <v>0.13700000000000001</v>
      </c>
      <c r="V642" s="278">
        <v>0.127</v>
      </c>
      <c r="W642" s="278">
        <v>0.125</v>
      </c>
      <c r="X642" s="278">
        <v>0.11600000000000001</v>
      </c>
      <c r="Y642" s="278">
        <v>0.106</v>
      </c>
      <c r="Z642" s="278">
        <v>0.10299999999999999</v>
      </c>
      <c r="AA642" s="249"/>
      <c r="AB642" s="279"/>
      <c r="AC642" s="279"/>
      <c r="AD642" s="279"/>
      <c r="AE642" s="279"/>
      <c r="AF642" s="279"/>
      <c r="AG642" s="279"/>
      <c r="AH642" s="249"/>
      <c r="AI642" s="249"/>
      <c r="AJ642" s="249"/>
      <c r="AK642" s="249"/>
      <c r="AL642" s="249"/>
      <c r="AM642" s="249"/>
      <c r="AN642" s="249"/>
      <c r="AO642" s="249"/>
    </row>
    <row r="643" spans="13:41" x14ac:dyDescent="0.35">
      <c r="M643" s="277">
        <v>3752</v>
      </c>
      <c r="N643" s="251" t="str">
        <f t="shared" si="97"/>
        <v/>
      </c>
      <c r="O643" s="251" t="str">
        <f t="shared" si="98"/>
        <v/>
      </c>
      <c r="P643" s="251" t="str">
        <f t="shared" si="99"/>
        <v/>
      </c>
      <c r="Q643" s="251" t="str">
        <f t="shared" si="100"/>
        <v/>
      </c>
      <c r="R643" s="251" t="str">
        <f t="shared" si="101"/>
        <v/>
      </c>
      <c r="S643" s="252" t="str">
        <f t="shared" si="102"/>
        <v/>
      </c>
      <c r="T643" s="253"/>
      <c r="U643" s="278">
        <v>0.14399999999999999</v>
      </c>
      <c r="V643" s="278">
        <v>0.13600000000000001</v>
      </c>
      <c r="W643" s="278">
        <v>0.13200000000000001</v>
      </c>
      <c r="X643" s="278">
        <v>0.122</v>
      </c>
      <c r="Y643" s="278">
        <v>0.12</v>
      </c>
      <c r="Z643" s="278">
        <v>0.11</v>
      </c>
      <c r="AA643" s="249"/>
      <c r="AB643" s="279"/>
      <c r="AC643" s="279"/>
      <c r="AD643" s="279"/>
      <c r="AE643" s="279"/>
      <c r="AF643" s="279"/>
      <c r="AG643" s="279"/>
      <c r="AH643" s="249"/>
      <c r="AI643" s="249"/>
      <c r="AJ643" s="249"/>
      <c r="AK643" s="249"/>
      <c r="AL643" s="249"/>
      <c r="AM643" s="249"/>
      <c r="AN643" s="249"/>
      <c r="AO643" s="249"/>
    </row>
    <row r="644" spans="13:41" x14ac:dyDescent="0.35">
      <c r="M644" s="277">
        <v>3969</v>
      </c>
      <c r="N644" s="251" t="str">
        <f t="shared" si="97"/>
        <v/>
      </c>
      <c r="O644" s="251" t="str">
        <f t="shared" si="98"/>
        <v/>
      </c>
      <c r="P644" s="251" t="str">
        <f t="shared" si="99"/>
        <v/>
      </c>
      <c r="Q644" s="251" t="str">
        <f t="shared" si="100"/>
        <v/>
      </c>
      <c r="R644" s="251" t="str">
        <f t="shared" si="101"/>
        <v/>
      </c>
      <c r="S644" s="252" t="str">
        <f t="shared" si="102"/>
        <v/>
      </c>
      <c r="T644" s="253"/>
      <c r="U644" s="278">
        <v>0.151</v>
      </c>
      <c r="V644" s="278">
        <v>0.14299999999999999</v>
      </c>
      <c r="W644" s="278">
        <v>0.14000000000000001</v>
      </c>
      <c r="X644" s="278">
        <v>0.129</v>
      </c>
      <c r="Y644" s="278">
        <v>0.126</v>
      </c>
      <c r="Z644" s="278">
        <v>0.11700000000000001</v>
      </c>
      <c r="AA644" s="249"/>
      <c r="AB644" s="279"/>
      <c r="AC644" s="279"/>
      <c r="AD644" s="279"/>
      <c r="AE644" s="279"/>
      <c r="AF644" s="279"/>
      <c r="AG644" s="279"/>
      <c r="AH644" s="249"/>
      <c r="AI644" s="249"/>
      <c r="AJ644" s="249"/>
      <c r="AK644" s="249"/>
      <c r="AL644" s="249"/>
      <c r="AM644" s="249"/>
      <c r="AN644" s="249"/>
      <c r="AO644" s="249"/>
    </row>
    <row r="645" spans="13:41" x14ac:dyDescent="0.35">
      <c r="M645" s="277">
        <v>4393</v>
      </c>
      <c r="N645" s="251" t="str">
        <f t="shared" si="97"/>
        <v/>
      </c>
      <c r="O645" s="251" t="str">
        <f t="shared" si="98"/>
        <v/>
      </c>
      <c r="P645" s="251" t="str">
        <f t="shared" si="99"/>
        <v/>
      </c>
      <c r="Q645" s="251" t="str">
        <f t="shared" si="100"/>
        <v/>
      </c>
      <c r="R645" s="251" t="str">
        <f t="shared" si="101"/>
        <v/>
      </c>
      <c r="S645" s="252" t="str">
        <f t="shared" si="102"/>
        <v/>
      </c>
      <c r="T645" s="253"/>
      <c r="U645" s="278">
        <v>0.16</v>
      </c>
      <c r="V645" s="278">
        <v>0.153</v>
      </c>
      <c r="W645" s="278">
        <v>0.151</v>
      </c>
      <c r="X645" s="278">
        <v>0.14099999999999999</v>
      </c>
      <c r="Y645" s="278">
        <v>0.13700000000000001</v>
      </c>
      <c r="Z645" s="278">
        <v>0.127</v>
      </c>
      <c r="AA645" s="249"/>
      <c r="AB645" s="279"/>
      <c r="AC645" s="279"/>
      <c r="AD645" s="279"/>
      <c r="AE645" s="279"/>
      <c r="AF645" s="279"/>
      <c r="AG645" s="279"/>
      <c r="AH645" s="249"/>
      <c r="AI645" s="249"/>
      <c r="AJ645" s="249"/>
      <c r="AK645" s="249"/>
      <c r="AL645" s="249"/>
      <c r="AM645" s="249"/>
      <c r="AN645" s="249"/>
      <c r="AO645" s="249"/>
    </row>
    <row r="646" spans="13:41" x14ac:dyDescent="0.35">
      <c r="M646" s="277">
        <v>4662</v>
      </c>
      <c r="N646" s="251" t="str">
        <f t="shared" si="97"/>
        <v/>
      </c>
      <c r="O646" s="251" t="str">
        <f t="shared" si="98"/>
        <v/>
      </c>
      <c r="P646" s="251" t="str">
        <f t="shared" si="99"/>
        <v/>
      </c>
      <c r="Q646" s="251" t="str">
        <f t="shared" si="100"/>
        <v/>
      </c>
      <c r="R646" s="251" t="str">
        <f t="shared" si="101"/>
        <v/>
      </c>
      <c r="S646" s="252" t="str">
        <f t="shared" si="102"/>
        <v/>
      </c>
      <c r="T646" s="253"/>
      <c r="U646" s="278">
        <v>0.16700000000000001</v>
      </c>
      <c r="V646" s="278">
        <v>0.16</v>
      </c>
      <c r="W646" s="278">
        <v>0.157</v>
      </c>
      <c r="X646" s="278">
        <v>0.14799999999999999</v>
      </c>
      <c r="Y646" s="278">
        <v>0.14499999999999999</v>
      </c>
      <c r="Z646" s="278">
        <v>0.14099999999999999</v>
      </c>
      <c r="AA646" s="249"/>
      <c r="AB646" s="279"/>
      <c r="AC646" s="279"/>
      <c r="AD646" s="279"/>
      <c r="AE646" s="279"/>
      <c r="AF646" s="279"/>
      <c r="AG646" s="279"/>
      <c r="AH646" s="249"/>
      <c r="AI646" s="249"/>
      <c r="AJ646" s="249"/>
      <c r="AK646" s="249"/>
      <c r="AL646" s="249"/>
      <c r="AM646" s="249"/>
      <c r="AN646" s="249"/>
      <c r="AO646" s="249"/>
    </row>
    <row r="647" spans="13:41" x14ac:dyDescent="0.35">
      <c r="M647" s="277">
        <v>4961</v>
      </c>
      <c r="N647" s="251" t="str">
        <f t="shared" si="97"/>
        <v/>
      </c>
      <c r="O647" s="251" t="str">
        <f t="shared" si="98"/>
        <v/>
      </c>
      <c r="P647" s="251" t="str">
        <f t="shared" si="99"/>
        <v/>
      </c>
      <c r="Q647" s="251" t="str">
        <f t="shared" si="100"/>
        <v/>
      </c>
      <c r="R647" s="251" t="str">
        <f t="shared" si="101"/>
        <v/>
      </c>
      <c r="S647" s="252" t="str">
        <f t="shared" si="102"/>
        <v/>
      </c>
      <c r="T647" s="253"/>
      <c r="U647" s="278">
        <v>0.17399999999999999</v>
      </c>
      <c r="V647" s="278">
        <v>0.16700000000000001</v>
      </c>
      <c r="W647" s="278">
        <v>0.16400000000000001</v>
      </c>
      <c r="X647" s="278">
        <v>0.155</v>
      </c>
      <c r="Y647" s="278">
        <v>0.152</v>
      </c>
      <c r="Z647" s="278">
        <v>0.14899999999999999</v>
      </c>
      <c r="AA647" s="249"/>
      <c r="AB647" s="279"/>
      <c r="AC647" s="279"/>
      <c r="AD647" s="279"/>
      <c r="AE647" s="279"/>
      <c r="AF647" s="279"/>
      <c r="AG647" s="279"/>
      <c r="AH647" s="249"/>
      <c r="AI647" s="249"/>
      <c r="AJ647" s="249"/>
      <c r="AK647" s="249"/>
      <c r="AL647" s="249"/>
      <c r="AM647" s="249"/>
      <c r="AN647" s="249"/>
      <c r="AO647" s="249"/>
    </row>
    <row r="648" spans="13:41" x14ac:dyDescent="0.35">
      <c r="M648" s="277">
        <v>5251</v>
      </c>
      <c r="N648" s="251" t="str">
        <f t="shared" si="97"/>
        <v/>
      </c>
      <c r="O648" s="251" t="str">
        <f t="shared" si="98"/>
        <v/>
      </c>
      <c r="P648" s="251" t="str">
        <f t="shared" si="99"/>
        <v/>
      </c>
      <c r="Q648" s="251" t="str">
        <f t="shared" si="100"/>
        <v/>
      </c>
      <c r="R648" s="251" t="str">
        <f t="shared" si="101"/>
        <v/>
      </c>
      <c r="S648" s="252" t="str">
        <f t="shared" si="102"/>
        <v/>
      </c>
      <c r="T648" s="253"/>
      <c r="U648" s="278">
        <v>0.18099999999999999</v>
      </c>
      <c r="V648" s="278">
        <v>0.17399999999999999</v>
      </c>
      <c r="W648" s="278">
        <v>0.17100000000000001</v>
      </c>
      <c r="X648" s="278">
        <v>0.161</v>
      </c>
      <c r="Y648" s="278">
        <v>0.158</v>
      </c>
      <c r="Z648" s="278">
        <v>0.155</v>
      </c>
      <c r="AA648" s="249"/>
      <c r="AB648" s="279"/>
      <c r="AC648" s="279"/>
      <c r="AD648" s="279"/>
      <c r="AE648" s="279"/>
      <c r="AF648" s="279"/>
      <c r="AG648" s="279"/>
      <c r="AH648" s="249"/>
      <c r="AI648" s="249"/>
      <c r="AJ648" s="249"/>
      <c r="AK648" s="249"/>
      <c r="AL648" s="249"/>
      <c r="AM648" s="249"/>
      <c r="AN648" s="249"/>
      <c r="AO648" s="249"/>
    </row>
    <row r="649" spans="13:41" x14ac:dyDescent="0.35">
      <c r="M649" s="277">
        <v>5685</v>
      </c>
      <c r="N649" s="251" t="str">
        <f t="shared" si="97"/>
        <v/>
      </c>
      <c r="O649" s="251" t="str">
        <f t="shared" si="98"/>
        <v/>
      </c>
      <c r="P649" s="251" t="str">
        <f t="shared" si="99"/>
        <v/>
      </c>
      <c r="Q649" s="251" t="str">
        <f t="shared" si="100"/>
        <v/>
      </c>
      <c r="R649" s="251" t="str">
        <f t="shared" si="101"/>
        <v/>
      </c>
      <c r="S649" s="252" t="str">
        <f t="shared" si="102"/>
        <v/>
      </c>
      <c r="T649" s="253"/>
      <c r="U649" s="278">
        <v>0.188</v>
      </c>
      <c r="V649" s="278">
        <v>0.18099999999999999</v>
      </c>
      <c r="W649" s="278">
        <v>0.17799999999999999</v>
      </c>
      <c r="X649" s="278">
        <v>0.16800000000000001</v>
      </c>
      <c r="Y649" s="278">
        <v>0.16500000000000001</v>
      </c>
      <c r="Z649" s="278">
        <v>0.16200000000000001</v>
      </c>
      <c r="AA649" s="249"/>
      <c r="AB649" s="279"/>
      <c r="AC649" s="279"/>
      <c r="AD649" s="279"/>
      <c r="AE649" s="279"/>
      <c r="AF649" s="279"/>
      <c r="AG649" s="279"/>
      <c r="AH649" s="249"/>
      <c r="AI649" s="249"/>
      <c r="AJ649" s="249"/>
      <c r="AK649" s="249"/>
      <c r="AL649" s="249"/>
      <c r="AM649" s="249"/>
      <c r="AN649" s="249"/>
      <c r="AO649" s="249"/>
    </row>
    <row r="650" spans="13:41" x14ac:dyDescent="0.35">
      <c r="M650" s="277">
        <v>6119</v>
      </c>
      <c r="N650" s="251" t="str">
        <f t="shared" si="97"/>
        <v/>
      </c>
      <c r="O650" s="251" t="str">
        <f t="shared" si="98"/>
        <v/>
      </c>
      <c r="P650" s="251" t="str">
        <f t="shared" si="99"/>
        <v/>
      </c>
      <c r="Q650" s="251" t="str">
        <f t="shared" si="100"/>
        <v/>
      </c>
      <c r="R650" s="251" t="str">
        <f t="shared" si="101"/>
        <v/>
      </c>
      <c r="S650" s="252" t="str">
        <f t="shared" si="102"/>
        <v/>
      </c>
      <c r="T650" s="253"/>
      <c r="U650" s="278">
        <v>0.19800000000000001</v>
      </c>
      <c r="V650" s="278">
        <v>0.19</v>
      </c>
      <c r="W650" s="278">
        <v>0.188</v>
      </c>
      <c r="X650" s="278">
        <v>0.17899999999999999</v>
      </c>
      <c r="Y650" s="278">
        <v>0.17599999999999999</v>
      </c>
      <c r="Z650" s="278">
        <v>0.17299999999999999</v>
      </c>
      <c r="AA650" s="249"/>
      <c r="AB650" s="279"/>
      <c r="AC650" s="279"/>
      <c r="AD650" s="279"/>
      <c r="AE650" s="279"/>
      <c r="AF650" s="279"/>
      <c r="AG650" s="279"/>
      <c r="AH650" s="249"/>
      <c r="AI650" s="249"/>
      <c r="AJ650" s="249"/>
      <c r="AK650" s="249"/>
      <c r="AL650" s="249"/>
      <c r="AM650" s="249"/>
      <c r="AN650" s="249"/>
      <c r="AO650" s="249"/>
    </row>
    <row r="651" spans="13:41" x14ac:dyDescent="0.35">
      <c r="M651" s="277">
        <v>6829</v>
      </c>
      <c r="N651" s="251" t="str">
        <f t="shared" si="97"/>
        <v/>
      </c>
      <c r="O651" s="251" t="str">
        <f t="shared" si="98"/>
        <v/>
      </c>
      <c r="P651" s="251" t="str">
        <f t="shared" si="99"/>
        <v/>
      </c>
      <c r="Q651" s="251" t="str">
        <f t="shared" si="100"/>
        <v/>
      </c>
      <c r="R651" s="251" t="str">
        <f t="shared" si="101"/>
        <v/>
      </c>
      <c r="S651" s="252" t="str">
        <f t="shared" si="102"/>
        <v/>
      </c>
      <c r="T651" s="253"/>
      <c r="U651" s="278">
        <v>0.20799999999999999</v>
      </c>
      <c r="V651" s="278">
        <v>0.20200000000000001</v>
      </c>
      <c r="W651" s="278">
        <v>0.20100000000000001</v>
      </c>
      <c r="X651" s="278">
        <v>0.193</v>
      </c>
      <c r="Y651" s="278">
        <v>0.191</v>
      </c>
      <c r="Z651" s="278">
        <v>0.19</v>
      </c>
      <c r="AA651" s="249"/>
      <c r="AB651" s="279"/>
      <c r="AC651" s="279"/>
      <c r="AD651" s="279"/>
      <c r="AE651" s="279"/>
      <c r="AF651" s="279"/>
      <c r="AG651" s="279"/>
      <c r="AH651" s="249"/>
      <c r="AI651" s="249"/>
      <c r="AJ651" s="249"/>
      <c r="AK651" s="249"/>
      <c r="AL651" s="249"/>
      <c r="AM651" s="249"/>
      <c r="AN651" s="249"/>
      <c r="AO651" s="249"/>
    </row>
    <row r="652" spans="13:41" x14ac:dyDescent="0.35">
      <c r="M652" s="277">
        <v>7302</v>
      </c>
      <c r="N652" s="251" t="str">
        <f t="shared" si="97"/>
        <v/>
      </c>
      <c r="O652" s="251" t="str">
        <f t="shared" si="98"/>
        <v/>
      </c>
      <c r="P652" s="251" t="str">
        <f t="shared" si="99"/>
        <v/>
      </c>
      <c r="Q652" s="251" t="str">
        <f t="shared" si="100"/>
        <v/>
      </c>
      <c r="R652" s="251" t="str">
        <f t="shared" si="101"/>
        <v/>
      </c>
      <c r="S652" s="252" t="str">
        <f t="shared" si="102"/>
        <v/>
      </c>
      <c r="T652" s="253"/>
      <c r="U652" s="278">
        <v>0.215</v>
      </c>
      <c r="V652" s="278">
        <v>0.21</v>
      </c>
      <c r="W652" s="278">
        <v>0.20699999999999999</v>
      </c>
      <c r="X652" s="278">
        <v>0.2</v>
      </c>
      <c r="Y652" s="278">
        <v>0.19800000000000001</v>
      </c>
      <c r="Z652" s="278">
        <v>0.19700000000000001</v>
      </c>
      <c r="AA652" s="249"/>
      <c r="AB652" s="279"/>
      <c r="AC652" s="279"/>
      <c r="AD652" s="279"/>
      <c r="AE652" s="279"/>
      <c r="AF652" s="279"/>
      <c r="AG652" s="279"/>
      <c r="AH652" s="249"/>
      <c r="AI652" s="249"/>
      <c r="AJ652" s="249"/>
      <c r="AK652" s="249"/>
      <c r="AL652" s="249"/>
      <c r="AM652" s="249"/>
      <c r="AN652" s="249"/>
      <c r="AO652" s="249"/>
    </row>
    <row r="653" spans="13:41" x14ac:dyDescent="0.35">
      <c r="M653" s="277">
        <v>7888</v>
      </c>
      <c r="N653" s="251" t="str">
        <f t="shared" si="97"/>
        <v/>
      </c>
      <c r="O653" s="251" t="str">
        <f t="shared" si="98"/>
        <v/>
      </c>
      <c r="P653" s="251" t="str">
        <f t="shared" si="99"/>
        <v/>
      </c>
      <c r="Q653" s="251" t="str">
        <f t="shared" si="100"/>
        <v/>
      </c>
      <c r="R653" s="251" t="str">
        <f t="shared" si="101"/>
        <v/>
      </c>
      <c r="S653" s="252" t="str">
        <f t="shared" si="102"/>
        <v/>
      </c>
      <c r="T653" s="253"/>
      <c r="U653" s="278">
        <v>0.222</v>
      </c>
      <c r="V653" s="278">
        <v>0.217</v>
      </c>
      <c r="W653" s="278">
        <v>0.216</v>
      </c>
      <c r="X653" s="278">
        <v>0.20599999999999999</v>
      </c>
      <c r="Y653" s="278">
        <v>0.20499999999999999</v>
      </c>
      <c r="Z653" s="278">
        <v>0.20399999999999999</v>
      </c>
      <c r="AA653" s="249"/>
      <c r="AB653" s="279"/>
      <c r="AC653" s="279"/>
      <c r="AD653" s="279"/>
      <c r="AE653" s="279"/>
      <c r="AF653" s="279"/>
      <c r="AG653" s="279"/>
      <c r="AH653" s="249"/>
      <c r="AI653" s="249"/>
      <c r="AJ653" s="249"/>
      <c r="AK653" s="249"/>
      <c r="AL653" s="249"/>
      <c r="AM653" s="249"/>
      <c r="AN653" s="249"/>
      <c r="AO653" s="249"/>
    </row>
    <row r="654" spans="13:41" x14ac:dyDescent="0.35">
      <c r="M654" s="277">
        <v>8577</v>
      </c>
      <c r="N654" s="251" t="str">
        <f t="shared" si="97"/>
        <v/>
      </c>
      <c r="O654" s="251" t="str">
        <f t="shared" si="98"/>
        <v/>
      </c>
      <c r="P654" s="251" t="str">
        <f t="shared" si="99"/>
        <v/>
      </c>
      <c r="Q654" s="251" t="str">
        <f t="shared" si="100"/>
        <v/>
      </c>
      <c r="R654" s="251" t="str">
        <f t="shared" si="101"/>
        <v/>
      </c>
      <c r="S654" s="252" t="str">
        <f t="shared" si="102"/>
        <v/>
      </c>
      <c r="T654" s="253"/>
      <c r="U654" s="278">
        <v>0.22800000000000001</v>
      </c>
      <c r="V654" s="278">
        <v>0.223</v>
      </c>
      <c r="W654" s="278">
        <v>0.223</v>
      </c>
      <c r="X654" s="278">
        <v>0.214</v>
      </c>
      <c r="Y654" s="278">
        <v>0.21099999999999999</v>
      </c>
      <c r="Z654" s="278">
        <v>0.21</v>
      </c>
      <c r="AA654" s="249"/>
      <c r="AB654" s="279"/>
      <c r="AC654" s="279"/>
      <c r="AD654" s="279"/>
      <c r="AE654" s="279"/>
      <c r="AF654" s="279"/>
      <c r="AG654" s="279"/>
      <c r="AH654" s="249"/>
      <c r="AI654" s="249"/>
      <c r="AJ654" s="249"/>
      <c r="AK654" s="249"/>
      <c r="AL654" s="249"/>
      <c r="AM654" s="249"/>
      <c r="AN654" s="249"/>
      <c r="AO654" s="249"/>
    </row>
    <row r="655" spans="13:41" x14ac:dyDescent="0.35">
      <c r="M655" s="277">
        <v>9368</v>
      </c>
      <c r="N655" s="251" t="str">
        <f t="shared" si="97"/>
        <v/>
      </c>
      <c r="O655" s="251" t="str">
        <f t="shared" si="98"/>
        <v/>
      </c>
      <c r="P655" s="251" t="str">
        <f t="shared" si="99"/>
        <v/>
      </c>
      <c r="Q655" s="251" t="str">
        <f t="shared" si="100"/>
        <v/>
      </c>
      <c r="R655" s="251" t="str">
        <f t="shared" si="101"/>
        <v/>
      </c>
      <c r="S655" s="252" t="str">
        <f t="shared" si="102"/>
        <v/>
      </c>
      <c r="T655" s="253"/>
      <c r="U655" s="278">
        <v>0.23499999999999999</v>
      </c>
      <c r="V655" s="278">
        <v>0.23</v>
      </c>
      <c r="W655" s="278">
        <v>0.22900000000000001</v>
      </c>
      <c r="X655" s="278">
        <v>0.221</v>
      </c>
      <c r="Y655" s="278">
        <v>0.22</v>
      </c>
      <c r="Z655" s="278">
        <v>0.217</v>
      </c>
      <c r="AA655" s="249"/>
      <c r="AB655" s="279"/>
      <c r="AC655" s="279"/>
      <c r="AD655" s="279"/>
      <c r="AE655" s="279"/>
      <c r="AF655" s="279"/>
      <c r="AG655" s="279"/>
      <c r="AH655" s="249"/>
      <c r="AI655" s="249"/>
      <c r="AJ655" s="249"/>
      <c r="AK655" s="249"/>
      <c r="AL655" s="249"/>
      <c r="AM655" s="249"/>
      <c r="AN655" s="249"/>
      <c r="AO655" s="249"/>
    </row>
    <row r="656" spans="13:41" x14ac:dyDescent="0.35">
      <c r="M656" s="277">
        <v>10109</v>
      </c>
      <c r="N656" s="251" t="str">
        <f t="shared" si="97"/>
        <v/>
      </c>
      <c r="O656" s="251" t="str">
        <f t="shared" si="98"/>
        <v/>
      </c>
      <c r="P656" s="251" t="str">
        <f t="shared" si="99"/>
        <v/>
      </c>
      <c r="Q656" s="251" t="str">
        <f t="shared" si="100"/>
        <v/>
      </c>
      <c r="R656" s="251" t="str">
        <f t="shared" si="101"/>
        <v/>
      </c>
      <c r="S656" s="252" t="str">
        <f t="shared" si="102"/>
        <v/>
      </c>
      <c r="T656" s="253"/>
      <c r="U656" s="278">
        <v>0.246</v>
      </c>
      <c r="V656" s="278">
        <v>0.24099999999999999</v>
      </c>
      <c r="W656" s="278">
        <v>0.23899999999999999</v>
      </c>
      <c r="X656" s="278">
        <v>0.23100000000000001</v>
      </c>
      <c r="Y656" s="278">
        <v>0.23</v>
      </c>
      <c r="Z656" s="278">
        <v>0.22800000000000001</v>
      </c>
      <c r="AA656" s="249"/>
      <c r="AB656" s="279"/>
      <c r="AC656" s="279"/>
      <c r="AD656" s="279"/>
      <c r="AE656" s="279"/>
      <c r="AF656" s="279"/>
      <c r="AG656" s="279"/>
      <c r="AH656" s="249"/>
      <c r="AI656" s="249"/>
      <c r="AJ656" s="249"/>
      <c r="AK656" s="249"/>
      <c r="AL656" s="249"/>
      <c r="AM656" s="249"/>
      <c r="AN656" s="249"/>
      <c r="AO656" s="249"/>
    </row>
    <row r="657" spans="13:41" x14ac:dyDescent="0.35">
      <c r="M657" s="277">
        <v>12648</v>
      </c>
      <c r="N657" s="251" t="str">
        <f t="shared" si="97"/>
        <v/>
      </c>
      <c r="O657" s="251" t="str">
        <f t="shared" si="98"/>
        <v/>
      </c>
      <c r="P657" s="251" t="str">
        <f t="shared" si="99"/>
        <v/>
      </c>
      <c r="Q657" s="251" t="str">
        <f t="shared" si="100"/>
        <v/>
      </c>
      <c r="R657" s="251" t="str">
        <f t="shared" si="101"/>
        <v/>
      </c>
      <c r="S657" s="252" t="str">
        <f t="shared" si="102"/>
        <v/>
      </c>
      <c r="T657" s="253"/>
      <c r="U657" s="278">
        <v>0.253</v>
      </c>
      <c r="V657" s="278">
        <v>0.248</v>
      </c>
      <c r="W657" s="278">
        <v>0.246</v>
      </c>
      <c r="X657" s="278">
        <v>0.23799999999999999</v>
      </c>
      <c r="Y657" s="278">
        <v>0.23699999999999999</v>
      </c>
      <c r="Z657" s="278">
        <v>0.23499999999999999</v>
      </c>
      <c r="AA657" s="249"/>
      <c r="AB657" s="279"/>
      <c r="AC657" s="279"/>
      <c r="AD657" s="279"/>
      <c r="AE657" s="279"/>
      <c r="AF657" s="279"/>
      <c r="AG657" s="279"/>
      <c r="AH657" s="249"/>
      <c r="AI657" s="249"/>
      <c r="AJ657" s="249"/>
      <c r="AK657" s="249"/>
      <c r="AL657" s="249"/>
      <c r="AM657" s="249"/>
      <c r="AN657" s="249"/>
      <c r="AO657" s="249"/>
    </row>
    <row r="658" spans="13:41" x14ac:dyDescent="0.35">
      <c r="M658" s="277">
        <v>12648</v>
      </c>
      <c r="N658" s="251" t="str">
        <f>IF($R$11&gt;=M657+0.01,U658,"")</f>
        <v/>
      </c>
      <c r="O658" s="251" t="str">
        <f>IF($R$11&gt;=M657,V658,"")</f>
        <v/>
      </c>
      <c r="P658" s="251" t="str">
        <f>IF($R$11&gt;=M657,W658,"")</f>
        <v/>
      </c>
      <c r="Q658" s="251" t="str">
        <f>IF($R$11&gt;=M657,X658,"")</f>
        <v/>
      </c>
      <c r="R658" s="252" t="str">
        <f>IF($R$11&gt;=M657,Y658,"")</f>
        <v/>
      </c>
      <c r="S658" s="251" t="str">
        <f>IF($R$11&gt;=M657,Z658,"")</f>
        <v/>
      </c>
      <c r="T658" s="253"/>
      <c r="U658" s="278">
        <v>0.25900000000000001</v>
      </c>
      <c r="V658" s="278">
        <v>0.255</v>
      </c>
      <c r="W658" s="278">
        <v>0.253</v>
      </c>
      <c r="X658" s="278">
        <v>0.245</v>
      </c>
      <c r="Y658" s="278">
        <v>0.24399999999999999</v>
      </c>
      <c r="Z658" s="278">
        <v>0.24199999999999999</v>
      </c>
      <c r="AA658" s="249"/>
      <c r="AB658" s="279"/>
      <c r="AC658" s="279"/>
      <c r="AD658" s="279"/>
      <c r="AE658" s="279"/>
      <c r="AF658" s="279"/>
      <c r="AG658" s="279"/>
      <c r="AH658" s="249"/>
      <c r="AI658" s="249"/>
      <c r="AJ658" s="249"/>
      <c r="AK658" s="249"/>
      <c r="AL658" s="249"/>
      <c r="AM658" s="249"/>
      <c r="AN658" s="249"/>
      <c r="AO658" s="249"/>
    </row>
    <row r="659" spans="13:41" x14ac:dyDescent="0.35">
      <c r="M659" s="249"/>
      <c r="N659" s="280" t="str">
        <f>IF($A$15=2,IF($A$2=6,IF($I$2=0,SUM(N629:N658),""),""),"")</f>
        <v/>
      </c>
      <c r="O659" s="281" t="str">
        <f>IF($A$15=2,IF($A$2=6,IF($I$2=1,SUM(O629:O658),""),""),"")</f>
        <v/>
      </c>
      <c r="P659" s="281" t="str">
        <f>IF($A$15=2,IF($A$2=6,IF($I$2=2,SUM(P629:P658),""),""),"")</f>
        <v/>
      </c>
      <c r="Q659" s="281" t="str">
        <f>IF($A$15=2,IF($A$2=6,IF($I$2=3,SUM(Q629:Q658),""),""),"")</f>
        <v/>
      </c>
      <c r="R659" s="281" t="str">
        <f>IF($A$15=2,IF($A$2=6,IF($I$2=4,SUM(R629:R658),""),""),"")</f>
        <v/>
      </c>
      <c r="S659" s="282" t="str">
        <f>IF($A$15=2,IF($A$2=6,IF($I$2=5,SUM(S629:S658),""),""),"")</f>
        <v/>
      </c>
      <c r="T659" s="260">
        <f>SUM(N659:S659)</f>
        <v>0</v>
      </c>
      <c r="U659" s="253"/>
      <c r="V659" s="253"/>
      <c r="W659" s="253"/>
      <c r="X659" s="253"/>
      <c r="Y659" s="253"/>
      <c r="Z659" s="253"/>
      <c r="AA659" s="249"/>
      <c r="AB659" s="279"/>
      <c r="AC659" s="279"/>
      <c r="AD659" s="279"/>
      <c r="AE659" s="279"/>
      <c r="AF659" s="279"/>
      <c r="AG659" s="279"/>
      <c r="AH659" s="249"/>
      <c r="AI659" s="249"/>
      <c r="AJ659" s="249"/>
      <c r="AK659" s="249"/>
      <c r="AL659" s="249"/>
      <c r="AM659" s="249"/>
      <c r="AN659" s="249"/>
      <c r="AO659" s="249"/>
    </row>
    <row r="660" spans="13:41" x14ac:dyDescent="0.35">
      <c r="M660" s="249"/>
      <c r="N660" s="249"/>
      <c r="O660" s="249"/>
      <c r="P660" s="249"/>
      <c r="Q660" s="249"/>
      <c r="R660" s="249"/>
      <c r="S660" s="249"/>
      <c r="T660" s="253"/>
      <c r="U660" s="253"/>
      <c r="V660" s="253"/>
      <c r="W660" s="253"/>
      <c r="X660" s="253"/>
      <c r="Y660" s="253"/>
      <c r="Z660" s="253"/>
      <c r="AA660" s="249"/>
      <c r="AB660" s="249"/>
      <c r="AC660" s="249"/>
      <c r="AD660" s="249"/>
      <c r="AE660" s="249"/>
      <c r="AF660" s="249"/>
      <c r="AG660" s="249"/>
      <c r="AH660" s="249"/>
      <c r="AI660" s="249"/>
      <c r="AJ660" s="249"/>
      <c r="AK660" s="249"/>
      <c r="AL660" s="249"/>
      <c r="AM660" s="249"/>
      <c r="AN660" s="249"/>
      <c r="AO660" s="249"/>
    </row>
    <row r="661" spans="13:41" x14ac:dyDescent="0.35">
      <c r="M661" s="249"/>
      <c r="N661" s="249"/>
      <c r="O661" s="249"/>
      <c r="P661" s="249"/>
      <c r="Q661" s="249"/>
      <c r="R661" s="249"/>
      <c r="S661" s="249"/>
      <c r="T661" s="253"/>
      <c r="U661" s="253"/>
      <c r="V661" s="253"/>
      <c r="W661" s="253"/>
      <c r="X661" s="253"/>
      <c r="Y661" s="253"/>
      <c r="Z661" s="253"/>
      <c r="AA661" s="249"/>
      <c r="AB661" s="249"/>
      <c r="AC661" s="249"/>
      <c r="AD661" s="249"/>
      <c r="AE661" s="249"/>
      <c r="AF661" s="249"/>
      <c r="AG661" s="249"/>
      <c r="AH661" s="249"/>
      <c r="AI661" s="249"/>
      <c r="AJ661" s="249"/>
      <c r="AK661" s="249"/>
      <c r="AL661" s="249"/>
      <c r="AM661" s="249"/>
      <c r="AN661" s="249"/>
      <c r="AO661" s="249"/>
    </row>
    <row r="662" spans="13:41" x14ac:dyDescent="0.35">
      <c r="M662" s="263" t="s">
        <v>214</v>
      </c>
      <c r="N662" s="284"/>
      <c r="O662" s="284" t="s">
        <v>257</v>
      </c>
      <c r="P662" s="284"/>
      <c r="Q662" s="284"/>
      <c r="R662" s="284"/>
      <c r="S662" s="285"/>
      <c r="T662" s="253"/>
      <c r="U662" s="286" t="str">
        <f>O662</f>
        <v>Tabelas de IRS de retenção na fonte referente a 2022 na Madeira</v>
      </c>
      <c r="V662" s="253"/>
      <c r="W662" s="253"/>
      <c r="X662" s="253"/>
      <c r="Y662" s="253"/>
      <c r="Z662" s="253"/>
      <c r="AA662" s="249"/>
      <c r="AB662" s="249"/>
      <c r="AC662" s="249"/>
      <c r="AD662" s="249"/>
      <c r="AE662" s="249"/>
      <c r="AF662" s="249"/>
      <c r="AG662" s="249"/>
      <c r="AH662" s="249"/>
      <c r="AI662" s="249"/>
      <c r="AJ662" s="249"/>
      <c r="AK662" s="249"/>
      <c r="AL662" s="249"/>
      <c r="AM662" s="249"/>
      <c r="AN662" s="249"/>
      <c r="AO662" s="249"/>
    </row>
    <row r="663" spans="13:41" x14ac:dyDescent="0.35">
      <c r="M663" s="285"/>
      <c r="N663" s="284"/>
      <c r="O663" s="284" t="s">
        <v>196</v>
      </c>
      <c r="P663" s="285"/>
      <c r="Q663" s="284"/>
      <c r="R663" s="284"/>
      <c r="S663" s="285"/>
      <c r="T663" s="253"/>
      <c r="U663" s="286" t="str">
        <f>O663</f>
        <v>T A B E L A I V - TRABALHO DEPENDENTE</v>
      </c>
      <c r="V663" s="253"/>
      <c r="W663" s="253"/>
      <c r="X663" s="253"/>
      <c r="Y663" s="253"/>
      <c r="Z663" s="253"/>
      <c r="AA663" s="249"/>
      <c r="AB663" s="249"/>
      <c r="AC663" s="249"/>
      <c r="AD663" s="249"/>
      <c r="AE663" s="249"/>
      <c r="AF663" s="249"/>
      <c r="AG663" s="249"/>
      <c r="AH663" s="249"/>
      <c r="AI663" s="249"/>
      <c r="AJ663" s="249"/>
      <c r="AK663" s="249"/>
      <c r="AL663" s="249"/>
      <c r="AM663" s="249"/>
      <c r="AN663" s="249"/>
      <c r="AO663" s="249"/>
    </row>
    <row r="664" spans="13:41" x14ac:dyDescent="0.35">
      <c r="M664" s="284"/>
      <c r="N664" s="284"/>
      <c r="O664" s="284" t="s">
        <v>188</v>
      </c>
      <c r="P664" s="285"/>
      <c r="Q664" s="284"/>
      <c r="R664" s="284"/>
      <c r="S664" s="285"/>
      <c r="T664" s="253"/>
      <c r="U664" s="286" t="str">
        <f>O664</f>
        <v>NÃO CASADO - DEFICIENTE</v>
      </c>
      <c r="V664" s="253"/>
      <c r="W664" s="253"/>
      <c r="X664" s="253"/>
      <c r="Y664" s="253"/>
      <c r="Z664" s="253"/>
      <c r="AA664" s="249"/>
      <c r="AB664" s="249"/>
      <c r="AC664" s="249"/>
      <c r="AD664" s="249"/>
      <c r="AE664" s="249"/>
      <c r="AF664" s="249"/>
      <c r="AG664" s="249"/>
      <c r="AH664" s="249"/>
      <c r="AI664" s="249"/>
      <c r="AJ664" s="249"/>
      <c r="AK664" s="249"/>
      <c r="AL664" s="249"/>
      <c r="AM664" s="249"/>
      <c r="AN664" s="249"/>
      <c r="AO664" s="249"/>
    </row>
    <row r="665" spans="13:41" x14ac:dyDescent="0.35">
      <c r="M665" s="267" t="s">
        <v>154</v>
      </c>
      <c r="N665" s="268" t="s">
        <v>155</v>
      </c>
      <c r="O665" s="268" t="s">
        <v>156</v>
      </c>
      <c r="P665" s="268" t="s">
        <v>157</v>
      </c>
      <c r="Q665" s="268" t="s">
        <v>158</v>
      </c>
      <c r="R665" s="268" t="s">
        <v>159</v>
      </c>
      <c r="S665" s="268" t="s">
        <v>160</v>
      </c>
      <c r="T665" s="253"/>
      <c r="U665" s="292" t="s">
        <v>155</v>
      </c>
      <c r="V665" s="292" t="s">
        <v>156</v>
      </c>
      <c r="W665" s="292" t="s">
        <v>157</v>
      </c>
      <c r="X665" s="292" t="s">
        <v>158</v>
      </c>
      <c r="Y665" s="292" t="s">
        <v>159</v>
      </c>
      <c r="Z665" s="292" t="s">
        <v>160</v>
      </c>
      <c r="AA665" s="249"/>
      <c r="AB665" s="249"/>
      <c r="AC665" s="249"/>
      <c r="AD665" s="249"/>
      <c r="AE665" s="249"/>
      <c r="AF665" s="249"/>
      <c r="AG665" s="249"/>
      <c r="AH665" s="249"/>
      <c r="AI665" s="249"/>
      <c r="AJ665" s="249"/>
      <c r="AK665" s="249"/>
      <c r="AL665" s="249"/>
      <c r="AM665" s="249"/>
      <c r="AN665" s="249"/>
      <c r="AO665" s="249"/>
    </row>
    <row r="666" spans="13:41" x14ac:dyDescent="0.35">
      <c r="M666" s="250">
        <v>1322</v>
      </c>
      <c r="N666" s="251" t="str">
        <f>IF($R$11&lt;=M666,IF($R$11&gt;=0,0,""),"")</f>
        <v/>
      </c>
      <c r="O666" s="251" t="str">
        <f>IF($R$11&lt;=M666,IF($R$11&gt;=0,0,""),"")</f>
        <v/>
      </c>
      <c r="P666" s="251" t="str">
        <f>IF($R$11&lt;=M666,IF($R$11&gt;=0,0,""),"")</f>
        <v/>
      </c>
      <c r="Q666" s="251" t="str">
        <f>IF($R$11&lt;=M666,IF($R$11&gt;=0,0,""),"")</f>
        <v/>
      </c>
      <c r="R666" s="251" t="str">
        <f>IF($R$11&lt;=M666,IF($R$11&gt;=0,0,""),"")</f>
        <v/>
      </c>
      <c r="S666" s="251" t="str">
        <f>IF($R$11&lt;=M666,IF($R$11&gt;=0,0,""),"")</f>
        <v/>
      </c>
      <c r="T666" s="253"/>
      <c r="U666" s="254">
        <v>0</v>
      </c>
      <c r="V666" s="254">
        <v>0</v>
      </c>
      <c r="W666" s="254">
        <v>0</v>
      </c>
      <c r="X666" s="254">
        <v>0</v>
      </c>
      <c r="Y666" s="254">
        <v>0</v>
      </c>
      <c r="Z666" s="254">
        <v>0</v>
      </c>
      <c r="AA666" s="249"/>
      <c r="AB666" s="249"/>
      <c r="AC666" s="249"/>
      <c r="AD666" s="249"/>
      <c r="AE666" s="249"/>
      <c r="AF666" s="249"/>
      <c r="AG666" s="249"/>
      <c r="AH666" s="249"/>
      <c r="AI666" s="249"/>
      <c r="AJ666" s="249"/>
      <c r="AK666" s="249"/>
      <c r="AL666" s="249"/>
      <c r="AM666" s="249"/>
      <c r="AN666" s="249"/>
      <c r="AO666" s="249"/>
    </row>
    <row r="667" spans="13:41" x14ac:dyDescent="0.35">
      <c r="M667" s="250">
        <v>1427</v>
      </c>
      <c r="N667" s="251" t="str">
        <f t="shared" ref="N667:N694" si="103">IF($R$11&lt;=M667,IF($R$11&gt;=M666+0.01,U667,""),"")</f>
        <v/>
      </c>
      <c r="O667" s="251" t="str">
        <f t="shared" ref="O667:O694" si="104">IF($R$11&lt;=M667,IF($R$11&gt;=M666+0.01,V667,""),"")</f>
        <v/>
      </c>
      <c r="P667" s="251" t="str">
        <f t="shared" ref="P667:P694" si="105">IF($R$11&lt;=M667,IF($R$11&gt;=M666+0.01,W667,""),"")</f>
        <v/>
      </c>
      <c r="Q667" s="251" t="str">
        <f t="shared" ref="Q667:Q694" si="106">IF($R$11&lt;=M667,IF($R$11&gt;=M666+0.01,X667,""),"")</f>
        <v/>
      </c>
      <c r="R667" s="251" t="str">
        <f t="shared" ref="R667:R694" si="107">IF($R$11&lt;=M667,IF($R$11&gt;=M666+0.01,Y667,""),"")</f>
        <v/>
      </c>
      <c r="S667" s="252" t="str">
        <f t="shared" ref="S667:S694" si="108">IF($R$11&lt;=M667,IF($R$11&gt;=M666+0.01,Z667,""),"")</f>
        <v/>
      </c>
      <c r="T667" s="253"/>
      <c r="U667" s="254">
        <v>8.9999999999999993E-3</v>
      </c>
      <c r="V667" s="254">
        <v>0</v>
      </c>
      <c r="W667" s="254">
        <v>0</v>
      </c>
      <c r="X667" s="254">
        <v>0</v>
      </c>
      <c r="Y667" s="254">
        <v>0</v>
      </c>
      <c r="Z667" s="254">
        <v>0</v>
      </c>
      <c r="AA667" s="249"/>
      <c r="AB667" s="249"/>
      <c r="AC667" s="249"/>
      <c r="AD667" s="249"/>
      <c r="AE667" s="249"/>
      <c r="AF667" s="249"/>
      <c r="AG667" s="249"/>
      <c r="AH667" s="249"/>
      <c r="AI667" s="249"/>
      <c r="AJ667" s="249"/>
      <c r="AK667" s="249"/>
      <c r="AL667" s="249"/>
      <c r="AM667" s="249"/>
      <c r="AN667" s="249"/>
      <c r="AO667" s="249"/>
    </row>
    <row r="668" spans="13:41" x14ac:dyDescent="0.35">
      <c r="M668" s="250">
        <v>1469</v>
      </c>
      <c r="N668" s="251" t="str">
        <f>IF($R$11&lt;=M668,IF($R$11&gt;=M667+0.01,U668,""),"")</f>
        <v/>
      </c>
      <c r="O668" s="251" t="str">
        <f>IF($R$11&lt;=M668,IF($R$11&gt;=M667+0.01,V668,""),"")</f>
        <v/>
      </c>
      <c r="P668" s="251" t="str">
        <f>IF($R$11&lt;=M668,IF($R$11&gt;=M667+0.01,W668,""),"")</f>
        <v/>
      </c>
      <c r="Q668" s="251" t="str">
        <f>IF($R$11&lt;=M668,IF($R$11&gt;=M667+0.01,X668,""),"")</f>
        <v/>
      </c>
      <c r="R668" s="251" t="str">
        <f>IF($R$11&lt;=M668,IF($R$11&gt;=M667+0.01,Y668,""),"")</f>
        <v/>
      </c>
      <c r="S668" s="252" t="str">
        <f>IF($R$11&lt;=M668,IF($R$11&gt;=M667+0.01,Z668,""),"")</f>
        <v/>
      </c>
      <c r="T668" s="253"/>
      <c r="U668" s="254">
        <v>3.1E-2</v>
      </c>
      <c r="V668" s="254">
        <v>5.0000000000000001E-3</v>
      </c>
      <c r="W668" s="254">
        <v>0</v>
      </c>
      <c r="X668" s="254">
        <v>0</v>
      </c>
      <c r="Y668" s="254">
        <v>0</v>
      </c>
      <c r="Z668" s="254">
        <v>0</v>
      </c>
      <c r="AA668" s="249"/>
      <c r="AB668" s="249"/>
      <c r="AC668" s="249"/>
      <c r="AD668" s="249"/>
      <c r="AE668" s="249"/>
      <c r="AF668" s="249"/>
      <c r="AG668" s="249"/>
      <c r="AH668" s="249"/>
      <c r="AI668" s="249"/>
      <c r="AJ668" s="249"/>
      <c r="AK668" s="249"/>
      <c r="AL668" s="249"/>
      <c r="AM668" s="249"/>
      <c r="AN668" s="249"/>
      <c r="AO668" s="249"/>
    </row>
    <row r="669" spans="13:41" x14ac:dyDescent="0.35">
      <c r="M669" s="250">
        <v>1654</v>
      </c>
      <c r="N669" s="251">
        <f>IF($R$11&lt;=M669,IF($R$11&gt;=M668+0.01,U669,""),"")</f>
        <v>3.9E-2</v>
      </c>
      <c r="O669" s="251">
        <f>IF($R$11&lt;=M669,IF($R$11&gt;=M668+0.01,V669,""),"")</f>
        <v>0.02</v>
      </c>
      <c r="P669" s="251">
        <f>IF($R$11&lt;=M669,IF($R$11&gt;=M668+0.01,W669,""),"")</f>
        <v>0</v>
      </c>
      <c r="Q669" s="251">
        <f>IF($R$11&lt;=M669,IF($R$11&gt;=M668+0.01,X669,""),"")</f>
        <v>0</v>
      </c>
      <c r="R669" s="251">
        <f>IF($R$11&lt;=M669,IF($R$11&gt;=M668+0.01,Y669,""),"")</f>
        <v>0</v>
      </c>
      <c r="S669" s="252">
        <f>IF($R$11&lt;=M669,IF($R$11&gt;=M668+0.01,Z669,""),"")</f>
        <v>0</v>
      </c>
      <c r="T669" s="253"/>
      <c r="U669" s="254">
        <v>3.9E-2</v>
      </c>
      <c r="V669" s="254">
        <v>0.02</v>
      </c>
      <c r="W669" s="254">
        <v>0</v>
      </c>
      <c r="X669" s="254">
        <v>0</v>
      </c>
      <c r="Y669" s="254">
        <v>0</v>
      </c>
      <c r="Z669" s="254">
        <v>0</v>
      </c>
      <c r="AA669" s="249"/>
      <c r="AB669" s="249"/>
      <c r="AC669" s="249"/>
      <c r="AD669" s="249"/>
      <c r="AE669" s="249"/>
      <c r="AF669" s="249"/>
      <c r="AG669" s="249"/>
      <c r="AH669" s="249"/>
      <c r="AI669" s="249"/>
      <c r="AJ669" s="249"/>
      <c r="AK669" s="249"/>
      <c r="AL669" s="249"/>
      <c r="AM669" s="249"/>
      <c r="AN669" s="249"/>
      <c r="AO669" s="249"/>
    </row>
    <row r="670" spans="13:41" x14ac:dyDescent="0.35">
      <c r="M670" s="250">
        <v>1974</v>
      </c>
      <c r="N670" s="251" t="str">
        <f t="shared" si="103"/>
        <v/>
      </c>
      <c r="O670" s="251" t="str">
        <f t="shared" si="104"/>
        <v/>
      </c>
      <c r="P670" s="251" t="str">
        <f t="shared" si="105"/>
        <v/>
      </c>
      <c r="Q670" s="251" t="str">
        <f t="shared" si="106"/>
        <v/>
      </c>
      <c r="R670" s="251" t="str">
        <f t="shared" si="107"/>
        <v/>
      </c>
      <c r="S670" s="252" t="str">
        <f t="shared" si="108"/>
        <v/>
      </c>
      <c r="T670" s="253"/>
      <c r="U670" s="254">
        <v>5.1999999999999998E-2</v>
      </c>
      <c r="V670" s="254">
        <v>3.6999999999999998E-2</v>
      </c>
      <c r="W670" s="254">
        <v>2.9000000000000001E-2</v>
      </c>
      <c r="X670" s="254">
        <v>2E-3</v>
      </c>
      <c r="Y670" s="254">
        <v>0</v>
      </c>
      <c r="Z670" s="254">
        <v>0</v>
      </c>
      <c r="AA670" s="249"/>
      <c r="AB670" s="249"/>
      <c r="AC670" s="249"/>
      <c r="AD670" s="249"/>
      <c r="AE670" s="249"/>
      <c r="AF670" s="249"/>
      <c r="AG670" s="249"/>
      <c r="AH670" s="249"/>
      <c r="AI670" s="249"/>
      <c r="AJ670" s="249"/>
      <c r="AK670" s="249"/>
      <c r="AL670" s="249"/>
      <c r="AM670" s="249"/>
      <c r="AN670" s="249"/>
      <c r="AO670" s="249"/>
    </row>
    <row r="671" spans="13:41" x14ac:dyDescent="0.35">
      <c r="M671" s="250">
        <v>2098</v>
      </c>
      <c r="N671" s="251" t="str">
        <f t="shared" si="103"/>
        <v/>
      </c>
      <c r="O671" s="251" t="str">
        <f t="shared" si="104"/>
        <v/>
      </c>
      <c r="P671" s="251" t="str">
        <f t="shared" si="105"/>
        <v/>
      </c>
      <c r="Q671" s="251" t="str">
        <f t="shared" si="106"/>
        <v/>
      </c>
      <c r="R671" s="251" t="str">
        <f t="shared" si="107"/>
        <v/>
      </c>
      <c r="S671" s="252" t="str">
        <f t="shared" si="108"/>
        <v/>
      </c>
      <c r="T671" s="253"/>
      <c r="U671" s="254">
        <v>6.3E-2</v>
      </c>
      <c r="V671" s="254">
        <v>4.9000000000000002E-2</v>
      </c>
      <c r="W671" s="254">
        <v>4.1000000000000002E-2</v>
      </c>
      <c r="X671" s="254">
        <v>1.7000000000000001E-2</v>
      </c>
      <c r="Y671" s="254">
        <v>8.9999999999999993E-3</v>
      </c>
      <c r="Z671" s="254">
        <v>0</v>
      </c>
      <c r="AA671" s="249"/>
      <c r="AB671" s="249"/>
      <c r="AC671" s="249"/>
      <c r="AD671" s="249"/>
      <c r="AE671" s="249"/>
      <c r="AF671" s="249"/>
      <c r="AG671" s="249"/>
      <c r="AH671" s="249"/>
      <c r="AI671" s="249"/>
      <c r="AJ671" s="249"/>
      <c r="AK671" s="249"/>
      <c r="AL671" s="249"/>
      <c r="AM671" s="249"/>
      <c r="AN671" s="249"/>
      <c r="AO671" s="249"/>
    </row>
    <row r="672" spans="13:41" x14ac:dyDescent="0.35">
      <c r="M672" s="250">
        <v>2233</v>
      </c>
      <c r="N672" s="251" t="str">
        <f t="shared" si="103"/>
        <v/>
      </c>
      <c r="O672" s="251" t="str">
        <f t="shared" si="104"/>
        <v/>
      </c>
      <c r="P672" s="251" t="str">
        <f t="shared" si="105"/>
        <v/>
      </c>
      <c r="Q672" s="251" t="str">
        <f t="shared" si="106"/>
        <v/>
      </c>
      <c r="R672" s="251" t="str">
        <f t="shared" si="107"/>
        <v/>
      </c>
      <c r="S672" s="252" t="str">
        <f t="shared" si="108"/>
        <v/>
      </c>
      <c r="T672" s="253"/>
      <c r="U672" s="254">
        <v>7.8E-2</v>
      </c>
      <c r="V672" s="254">
        <v>5.6000000000000001E-2</v>
      </c>
      <c r="W672" s="254">
        <v>4.9000000000000002E-2</v>
      </c>
      <c r="X672" s="254">
        <v>3.3000000000000002E-2</v>
      </c>
      <c r="Y672" s="254">
        <v>1.7000000000000001E-2</v>
      </c>
      <c r="Z672" s="254">
        <v>1.0999999999999999E-2</v>
      </c>
      <c r="AA672" s="249"/>
      <c r="AB672" s="249"/>
      <c r="AC672" s="249"/>
      <c r="AD672" s="249"/>
      <c r="AE672" s="249"/>
      <c r="AF672" s="249"/>
      <c r="AG672" s="249"/>
      <c r="AH672" s="249"/>
      <c r="AI672" s="249"/>
      <c r="AJ672" s="249"/>
      <c r="AK672" s="249"/>
      <c r="AL672" s="249"/>
      <c r="AM672" s="249"/>
      <c r="AN672" s="249"/>
      <c r="AO672" s="249"/>
    </row>
    <row r="673" spans="13:26" x14ac:dyDescent="0.35">
      <c r="M673" s="250">
        <v>2335</v>
      </c>
      <c r="N673" s="251" t="str">
        <f t="shared" si="103"/>
        <v/>
      </c>
      <c r="O673" s="251" t="str">
        <f t="shared" si="104"/>
        <v/>
      </c>
      <c r="P673" s="251" t="str">
        <f t="shared" si="105"/>
        <v/>
      </c>
      <c r="Q673" s="251" t="str">
        <f t="shared" si="106"/>
        <v/>
      </c>
      <c r="R673" s="251" t="str">
        <f t="shared" si="107"/>
        <v/>
      </c>
      <c r="S673" s="252" t="str">
        <f t="shared" si="108"/>
        <v/>
      </c>
      <c r="T673" s="253"/>
      <c r="U673" s="254">
        <v>0.10299999999999999</v>
      </c>
      <c r="V673" s="254">
        <v>7.9000000000000001E-2</v>
      </c>
      <c r="W673" s="254">
        <v>6.4000000000000001E-2</v>
      </c>
      <c r="X673" s="254">
        <v>4.8000000000000001E-2</v>
      </c>
      <c r="Y673" s="254">
        <v>3.1E-2</v>
      </c>
      <c r="Z673" s="254">
        <v>2.4E-2</v>
      </c>
    </row>
    <row r="674" spans="13:26" x14ac:dyDescent="0.35">
      <c r="M674" s="250">
        <v>2502</v>
      </c>
      <c r="N674" s="251" t="str">
        <f t="shared" si="103"/>
        <v/>
      </c>
      <c r="O674" s="251" t="str">
        <f t="shared" si="104"/>
        <v/>
      </c>
      <c r="P674" s="251" t="str">
        <f t="shared" si="105"/>
        <v/>
      </c>
      <c r="Q674" s="251" t="str">
        <f t="shared" si="106"/>
        <v/>
      </c>
      <c r="R674" s="251" t="str">
        <f t="shared" si="107"/>
        <v/>
      </c>
      <c r="S674" s="252" t="str">
        <f t="shared" si="108"/>
        <v/>
      </c>
      <c r="T674" s="253"/>
      <c r="U674" s="254">
        <v>0.12</v>
      </c>
      <c r="V674" s="254">
        <v>9.6000000000000002E-2</v>
      </c>
      <c r="W674" s="254">
        <v>0.08</v>
      </c>
      <c r="X674" s="254">
        <v>6.4000000000000001E-2</v>
      </c>
      <c r="Y674" s="254">
        <v>4.8000000000000001E-2</v>
      </c>
      <c r="Z674" s="254">
        <v>3.2000000000000001E-2</v>
      </c>
    </row>
    <row r="675" spans="13:26" x14ac:dyDescent="0.35">
      <c r="M675" s="250">
        <v>2585</v>
      </c>
      <c r="N675" s="251" t="str">
        <f t="shared" si="103"/>
        <v/>
      </c>
      <c r="O675" s="251" t="str">
        <f t="shared" si="104"/>
        <v/>
      </c>
      <c r="P675" s="251" t="str">
        <f t="shared" si="105"/>
        <v/>
      </c>
      <c r="Q675" s="251" t="str">
        <f t="shared" si="106"/>
        <v/>
      </c>
      <c r="R675" s="251" t="str">
        <f t="shared" si="107"/>
        <v/>
      </c>
      <c r="S675" s="252" t="str">
        <f t="shared" si="108"/>
        <v/>
      </c>
      <c r="T675" s="253"/>
      <c r="U675" s="254">
        <v>0.127</v>
      </c>
      <c r="V675" s="254">
        <v>0.112</v>
      </c>
      <c r="W675" s="254">
        <v>9.6000000000000002E-2</v>
      </c>
      <c r="X675" s="254">
        <v>0.08</v>
      </c>
      <c r="Y675" s="254">
        <v>5.6000000000000001E-2</v>
      </c>
      <c r="Z675" s="254">
        <v>5.0999999999999997E-2</v>
      </c>
    </row>
    <row r="676" spans="13:26" x14ac:dyDescent="0.35">
      <c r="M676" s="250">
        <v>2687</v>
      </c>
      <c r="N676" s="251" t="str">
        <f t="shared" si="103"/>
        <v/>
      </c>
      <c r="O676" s="251" t="str">
        <f t="shared" si="104"/>
        <v/>
      </c>
      <c r="P676" s="251" t="str">
        <f t="shared" si="105"/>
        <v/>
      </c>
      <c r="Q676" s="251" t="str">
        <f t="shared" si="106"/>
        <v/>
      </c>
      <c r="R676" s="251" t="str">
        <f t="shared" si="107"/>
        <v/>
      </c>
      <c r="S676" s="252" t="str">
        <f t="shared" si="108"/>
        <v/>
      </c>
      <c r="T676" s="253"/>
      <c r="U676" s="254">
        <v>0.13600000000000001</v>
      </c>
      <c r="V676" s="254">
        <v>0.12</v>
      </c>
      <c r="W676" s="254">
        <v>0.104</v>
      </c>
      <c r="X676" s="254">
        <v>8.8999999999999996E-2</v>
      </c>
      <c r="Y676" s="254">
        <v>7.1999999999999995E-2</v>
      </c>
      <c r="Z676" s="254">
        <v>6.7000000000000004E-2</v>
      </c>
    </row>
    <row r="677" spans="13:26" x14ac:dyDescent="0.35">
      <c r="M677" s="250">
        <v>2956</v>
      </c>
      <c r="N677" s="251" t="str">
        <f t="shared" si="103"/>
        <v/>
      </c>
      <c r="O677" s="251" t="str">
        <f t="shared" si="104"/>
        <v/>
      </c>
      <c r="P677" s="251" t="str">
        <f t="shared" si="105"/>
        <v/>
      </c>
      <c r="Q677" s="251" t="str">
        <f t="shared" si="106"/>
        <v/>
      </c>
      <c r="R677" s="251" t="str">
        <f t="shared" si="107"/>
        <v/>
      </c>
      <c r="S677" s="252" t="str">
        <f t="shared" si="108"/>
        <v/>
      </c>
      <c r="T677" s="253"/>
      <c r="U677" s="254">
        <v>0.14399999999999999</v>
      </c>
      <c r="V677" s="254">
        <v>0.129</v>
      </c>
      <c r="W677" s="254">
        <v>0.112</v>
      </c>
      <c r="X677" s="254">
        <v>9.7000000000000003E-2</v>
      </c>
      <c r="Y677" s="254">
        <v>8.8999999999999996E-2</v>
      </c>
      <c r="Z677" s="254">
        <v>8.4000000000000005E-2</v>
      </c>
    </row>
    <row r="678" spans="13:26" x14ac:dyDescent="0.35">
      <c r="M678" s="250">
        <v>3277</v>
      </c>
      <c r="N678" s="251" t="str">
        <f t="shared" si="103"/>
        <v/>
      </c>
      <c r="O678" s="251" t="str">
        <f t="shared" si="104"/>
        <v/>
      </c>
      <c r="P678" s="251" t="str">
        <f t="shared" si="105"/>
        <v/>
      </c>
      <c r="Q678" s="251" t="str">
        <f t="shared" si="106"/>
        <v/>
      </c>
      <c r="R678" s="251" t="str">
        <f t="shared" si="107"/>
        <v/>
      </c>
      <c r="S678" s="252" t="str">
        <f t="shared" si="108"/>
        <v/>
      </c>
      <c r="T678" s="253"/>
      <c r="U678" s="254">
        <v>0.16900000000000001</v>
      </c>
      <c r="V678" s="254">
        <v>0.156</v>
      </c>
      <c r="W678" s="254">
        <v>0.14099999999999999</v>
      </c>
      <c r="X678" s="254">
        <v>0.127</v>
      </c>
      <c r="Y678" s="254">
        <v>0.122</v>
      </c>
      <c r="Z678" s="254">
        <v>0.12</v>
      </c>
    </row>
    <row r="679" spans="13:26" x14ac:dyDescent="0.35">
      <c r="M679" s="250">
        <v>3618</v>
      </c>
      <c r="N679" s="251" t="str">
        <f t="shared" si="103"/>
        <v/>
      </c>
      <c r="O679" s="251" t="str">
        <f t="shared" si="104"/>
        <v/>
      </c>
      <c r="P679" s="251" t="str">
        <f t="shared" si="105"/>
        <v/>
      </c>
      <c r="Q679" s="251" t="str">
        <f t="shared" si="106"/>
        <v/>
      </c>
      <c r="R679" s="251" t="str">
        <f t="shared" si="107"/>
        <v/>
      </c>
      <c r="S679" s="252" t="str">
        <f t="shared" si="108"/>
        <v/>
      </c>
      <c r="T679" s="253"/>
      <c r="U679" s="254">
        <v>0.18</v>
      </c>
      <c r="V679" s="254">
        <v>0.16600000000000001</v>
      </c>
      <c r="W679" s="254">
        <v>0.152</v>
      </c>
      <c r="X679" s="254">
        <v>0.13800000000000001</v>
      </c>
      <c r="Y679" s="254">
        <v>0.13200000000000001</v>
      </c>
      <c r="Z679" s="254">
        <v>0.13100000000000001</v>
      </c>
    </row>
    <row r="680" spans="13:26" x14ac:dyDescent="0.35">
      <c r="M680" s="250">
        <v>3752</v>
      </c>
      <c r="N680" s="251" t="str">
        <f t="shared" si="103"/>
        <v/>
      </c>
      <c r="O680" s="251" t="str">
        <f t="shared" si="104"/>
        <v/>
      </c>
      <c r="P680" s="251" t="str">
        <f t="shared" si="105"/>
        <v/>
      </c>
      <c r="Q680" s="251" t="str">
        <f t="shared" si="106"/>
        <v/>
      </c>
      <c r="R680" s="251" t="str">
        <f t="shared" si="107"/>
        <v/>
      </c>
      <c r="S680" s="252" t="str">
        <f t="shared" si="108"/>
        <v/>
      </c>
      <c r="T680" s="253"/>
      <c r="U680" s="254">
        <v>0.189</v>
      </c>
      <c r="V680" s="254">
        <v>0.17699999999999999</v>
      </c>
      <c r="W680" s="254">
        <v>0.17</v>
      </c>
      <c r="X680" s="254">
        <v>0.14699999999999999</v>
      </c>
      <c r="Y680" s="254">
        <v>0.14099999999999999</v>
      </c>
      <c r="Z680" s="254">
        <v>0.14000000000000001</v>
      </c>
    </row>
    <row r="681" spans="13:26" x14ac:dyDescent="0.35">
      <c r="M681" s="250">
        <v>3969</v>
      </c>
      <c r="N681" s="251" t="str">
        <f t="shared" si="103"/>
        <v/>
      </c>
      <c r="O681" s="251" t="str">
        <f t="shared" si="104"/>
        <v/>
      </c>
      <c r="P681" s="251" t="str">
        <f t="shared" si="105"/>
        <v/>
      </c>
      <c r="Q681" s="251" t="str">
        <f t="shared" si="106"/>
        <v/>
      </c>
      <c r="R681" s="251" t="str">
        <f t="shared" si="107"/>
        <v/>
      </c>
      <c r="S681" s="252" t="str">
        <f t="shared" si="108"/>
        <v/>
      </c>
      <c r="T681" s="253"/>
      <c r="U681" s="254">
        <v>0.19800000000000001</v>
      </c>
      <c r="V681" s="254">
        <v>0.186</v>
      </c>
      <c r="W681" s="254">
        <v>0.18099999999999999</v>
      </c>
      <c r="X681" s="254">
        <v>0.156</v>
      </c>
      <c r="Y681" s="254">
        <v>0.15</v>
      </c>
      <c r="Z681" s="254">
        <v>0.15</v>
      </c>
    </row>
    <row r="682" spans="13:26" x14ac:dyDescent="0.35">
      <c r="M682" s="250">
        <v>4393</v>
      </c>
      <c r="N682" s="251" t="str">
        <f t="shared" si="103"/>
        <v/>
      </c>
      <c r="O682" s="251" t="str">
        <f t="shared" si="104"/>
        <v/>
      </c>
      <c r="P682" s="251" t="str">
        <f t="shared" si="105"/>
        <v/>
      </c>
      <c r="Q682" s="251" t="str">
        <f t="shared" si="106"/>
        <v/>
      </c>
      <c r="R682" s="251" t="str">
        <f t="shared" si="107"/>
        <v/>
      </c>
      <c r="S682" s="252" t="str">
        <f t="shared" si="108"/>
        <v/>
      </c>
      <c r="T682" s="253"/>
      <c r="U682" s="254">
        <v>0.216</v>
      </c>
      <c r="V682" s="254">
        <v>0.20399999999999999</v>
      </c>
      <c r="W682" s="254">
        <v>0.19900000000000001</v>
      </c>
      <c r="X682" s="254">
        <v>0.17499999999999999</v>
      </c>
      <c r="Y682" s="254">
        <v>0.16800000000000001</v>
      </c>
      <c r="Z682" s="254">
        <v>0.16800000000000001</v>
      </c>
    </row>
    <row r="683" spans="13:26" x14ac:dyDescent="0.35">
      <c r="M683" s="250">
        <v>4662</v>
      </c>
      <c r="N683" s="251" t="str">
        <f t="shared" si="103"/>
        <v/>
      </c>
      <c r="O683" s="251" t="str">
        <f t="shared" si="104"/>
        <v/>
      </c>
      <c r="P683" s="251" t="str">
        <f t="shared" si="105"/>
        <v/>
      </c>
      <c r="Q683" s="251" t="str">
        <f t="shared" si="106"/>
        <v/>
      </c>
      <c r="R683" s="251" t="str">
        <f t="shared" si="107"/>
        <v/>
      </c>
      <c r="S683" s="252" t="str">
        <f t="shared" si="108"/>
        <v/>
      </c>
      <c r="T683" s="253"/>
      <c r="U683" s="254">
        <v>0.22500000000000001</v>
      </c>
      <c r="V683" s="254">
        <v>0.21299999999999999</v>
      </c>
      <c r="W683" s="254">
        <v>0.20799999999999999</v>
      </c>
      <c r="X683" s="254">
        <v>0.185</v>
      </c>
      <c r="Y683" s="254">
        <v>0.17899999999999999</v>
      </c>
      <c r="Z683" s="254">
        <v>0.17699999999999999</v>
      </c>
    </row>
    <row r="684" spans="13:26" x14ac:dyDescent="0.35">
      <c r="M684" s="250">
        <v>4961</v>
      </c>
      <c r="N684" s="251" t="str">
        <f t="shared" si="103"/>
        <v/>
      </c>
      <c r="O684" s="251" t="str">
        <f t="shared" si="104"/>
        <v/>
      </c>
      <c r="P684" s="251" t="str">
        <f t="shared" si="105"/>
        <v/>
      </c>
      <c r="Q684" s="251" t="str">
        <f t="shared" si="106"/>
        <v/>
      </c>
      <c r="R684" s="251" t="str">
        <f t="shared" si="107"/>
        <v/>
      </c>
      <c r="S684" s="252" t="str">
        <f t="shared" si="108"/>
        <v/>
      </c>
      <c r="T684" s="253"/>
      <c r="U684" s="254">
        <v>0.23400000000000001</v>
      </c>
      <c r="V684" s="254">
        <v>0.222</v>
      </c>
      <c r="W684" s="254">
        <v>0.217</v>
      </c>
      <c r="X684" s="254">
        <v>0.19400000000000001</v>
      </c>
      <c r="Y684" s="254">
        <v>0.188</v>
      </c>
      <c r="Z684" s="254">
        <v>0.189</v>
      </c>
    </row>
    <row r="685" spans="13:26" x14ac:dyDescent="0.35">
      <c r="M685" s="250">
        <v>5251</v>
      </c>
      <c r="N685" s="251" t="str">
        <f t="shared" si="103"/>
        <v/>
      </c>
      <c r="O685" s="251" t="str">
        <f t="shared" si="104"/>
        <v/>
      </c>
      <c r="P685" s="251" t="str">
        <f t="shared" si="105"/>
        <v/>
      </c>
      <c r="Q685" s="251" t="str">
        <f t="shared" si="106"/>
        <v/>
      </c>
      <c r="R685" s="251" t="str">
        <f t="shared" si="107"/>
        <v/>
      </c>
      <c r="S685" s="252" t="str">
        <f t="shared" si="108"/>
        <v/>
      </c>
      <c r="T685" s="253"/>
      <c r="U685" s="254">
        <v>0.24399999999999999</v>
      </c>
      <c r="V685" s="254">
        <v>0.23200000000000001</v>
      </c>
      <c r="W685" s="254">
        <v>0.22600000000000001</v>
      </c>
      <c r="X685" s="254">
        <v>0.20300000000000001</v>
      </c>
      <c r="Y685" s="254">
        <v>0.19800000000000001</v>
      </c>
      <c r="Z685" s="254">
        <v>0.19800000000000001</v>
      </c>
    </row>
    <row r="686" spans="13:26" x14ac:dyDescent="0.35">
      <c r="M686" s="250">
        <v>5685</v>
      </c>
      <c r="N686" s="251" t="str">
        <f t="shared" si="103"/>
        <v/>
      </c>
      <c r="O686" s="251" t="str">
        <f t="shared" si="104"/>
        <v/>
      </c>
      <c r="P686" s="251" t="str">
        <f t="shared" si="105"/>
        <v/>
      </c>
      <c r="Q686" s="251" t="str">
        <f t="shared" si="106"/>
        <v/>
      </c>
      <c r="R686" s="251" t="str">
        <f t="shared" si="107"/>
        <v/>
      </c>
      <c r="S686" s="252" t="str">
        <f t="shared" si="108"/>
        <v/>
      </c>
      <c r="T686" s="253"/>
      <c r="U686" s="254">
        <v>0.252</v>
      </c>
      <c r="V686" s="254">
        <v>0.24099999999999999</v>
      </c>
      <c r="W686" s="254">
        <v>0.23499999999999999</v>
      </c>
      <c r="X686" s="254">
        <v>0.221</v>
      </c>
      <c r="Y686" s="254">
        <v>0.20599999999999999</v>
      </c>
      <c r="Z686" s="254">
        <v>0.20799999999999999</v>
      </c>
    </row>
    <row r="687" spans="13:26" x14ac:dyDescent="0.35">
      <c r="M687" s="250">
        <v>6119</v>
      </c>
      <c r="N687" s="251" t="str">
        <f t="shared" si="103"/>
        <v/>
      </c>
      <c r="O687" s="251" t="str">
        <f t="shared" si="104"/>
        <v/>
      </c>
      <c r="P687" s="251" t="str">
        <f t="shared" si="105"/>
        <v/>
      </c>
      <c r="Q687" s="251" t="str">
        <f t="shared" si="106"/>
        <v/>
      </c>
      <c r="R687" s="251" t="str">
        <f t="shared" si="107"/>
        <v/>
      </c>
      <c r="S687" s="252" t="str">
        <f t="shared" si="108"/>
        <v/>
      </c>
      <c r="T687" s="253"/>
      <c r="U687" s="254">
        <v>0.26600000000000001</v>
      </c>
      <c r="V687" s="254">
        <v>0.254</v>
      </c>
      <c r="W687" s="254">
        <v>0.249</v>
      </c>
      <c r="X687" s="254">
        <v>0.23400000000000001</v>
      </c>
      <c r="Y687" s="254">
        <v>0.22</v>
      </c>
      <c r="Z687" s="254">
        <v>0.221</v>
      </c>
    </row>
    <row r="688" spans="13:26" x14ac:dyDescent="0.35">
      <c r="M688" s="250">
        <v>6829</v>
      </c>
      <c r="N688" s="251" t="str">
        <f t="shared" si="103"/>
        <v/>
      </c>
      <c r="O688" s="251" t="str">
        <f t="shared" si="104"/>
        <v/>
      </c>
      <c r="P688" s="251" t="str">
        <f t="shared" si="105"/>
        <v/>
      </c>
      <c r="Q688" s="251" t="str">
        <f t="shared" si="106"/>
        <v/>
      </c>
      <c r="R688" s="251" t="str">
        <f t="shared" si="107"/>
        <v/>
      </c>
      <c r="S688" s="252" t="str">
        <f t="shared" si="108"/>
        <v/>
      </c>
      <c r="T688" s="253"/>
      <c r="U688" s="254">
        <v>0.29399999999999998</v>
      </c>
      <c r="V688" s="254">
        <v>0.28399999999999997</v>
      </c>
      <c r="W688" s="254">
        <v>0.28000000000000003</v>
      </c>
      <c r="X688" s="254">
        <v>0.26700000000000002</v>
      </c>
      <c r="Y688" s="254">
        <v>0.253</v>
      </c>
      <c r="Z688" s="254">
        <v>0.252</v>
      </c>
    </row>
    <row r="689" spans="13:26" x14ac:dyDescent="0.35">
      <c r="M689" s="250">
        <v>7302</v>
      </c>
      <c r="N689" s="251" t="str">
        <f t="shared" si="103"/>
        <v/>
      </c>
      <c r="O689" s="251" t="str">
        <f t="shared" si="104"/>
        <v/>
      </c>
      <c r="P689" s="251" t="str">
        <f t="shared" si="105"/>
        <v/>
      </c>
      <c r="Q689" s="251" t="str">
        <f t="shared" si="106"/>
        <v/>
      </c>
      <c r="R689" s="251" t="str">
        <f t="shared" si="107"/>
        <v/>
      </c>
      <c r="S689" s="252" t="str">
        <f t="shared" si="108"/>
        <v/>
      </c>
      <c r="T689" s="253"/>
      <c r="U689" s="254">
        <v>0.30399999999999999</v>
      </c>
      <c r="V689" s="254">
        <v>0.29499999999999998</v>
      </c>
      <c r="W689" s="254">
        <v>0.28999999999999998</v>
      </c>
      <c r="X689" s="254">
        <v>0.27600000000000002</v>
      </c>
      <c r="Y689" s="254">
        <v>0.26300000000000001</v>
      </c>
      <c r="Z689" s="254">
        <v>0.26200000000000001</v>
      </c>
    </row>
    <row r="690" spans="13:26" x14ac:dyDescent="0.35">
      <c r="M690" s="250">
        <v>7888</v>
      </c>
      <c r="N690" s="251" t="str">
        <f t="shared" si="103"/>
        <v/>
      </c>
      <c r="O690" s="251" t="str">
        <f t="shared" si="104"/>
        <v/>
      </c>
      <c r="P690" s="251" t="str">
        <f t="shared" si="105"/>
        <v/>
      </c>
      <c r="Q690" s="251" t="str">
        <f t="shared" si="106"/>
        <v/>
      </c>
      <c r="R690" s="251" t="str">
        <f t="shared" si="107"/>
        <v/>
      </c>
      <c r="S690" s="252" t="str">
        <f t="shared" si="108"/>
        <v/>
      </c>
      <c r="T690" s="253"/>
      <c r="U690" s="254">
        <v>0.314</v>
      </c>
      <c r="V690" s="254">
        <v>0.30499999999999999</v>
      </c>
      <c r="W690" s="254">
        <v>0.30099999999999999</v>
      </c>
      <c r="X690" s="254">
        <v>0.28599999999999998</v>
      </c>
      <c r="Y690" s="254">
        <v>0.28199999999999997</v>
      </c>
      <c r="Z690" s="254">
        <v>0.27100000000000002</v>
      </c>
    </row>
    <row r="691" spans="13:26" x14ac:dyDescent="0.35">
      <c r="M691" s="250">
        <v>8577</v>
      </c>
      <c r="N691" s="251" t="str">
        <f t="shared" si="103"/>
        <v/>
      </c>
      <c r="O691" s="251" t="str">
        <f t="shared" si="104"/>
        <v/>
      </c>
      <c r="P691" s="251" t="str">
        <f t="shared" si="105"/>
        <v/>
      </c>
      <c r="Q691" s="251" t="str">
        <f t="shared" si="106"/>
        <v/>
      </c>
      <c r="R691" s="251" t="str">
        <f t="shared" si="107"/>
        <v/>
      </c>
      <c r="S691" s="252" t="str">
        <f t="shared" si="108"/>
        <v/>
      </c>
      <c r="T691" s="253"/>
      <c r="U691" s="254">
        <v>0.32300000000000001</v>
      </c>
      <c r="V691" s="254">
        <v>0.315</v>
      </c>
      <c r="W691" s="254">
        <v>0.311</v>
      </c>
      <c r="X691" s="254">
        <v>0.29699999999999999</v>
      </c>
      <c r="Y691" s="254">
        <v>0.28699999999999998</v>
      </c>
      <c r="Z691" s="254">
        <v>0.28100000000000003</v>
      </c>
    </row>
    <row r="692" spans="13:26" x14ac:dyDescent="0.35">
      <c r="M692" s="250">
        <v>9368</v>
      </c>
      <c r="N692" s="251" t="str">
        <f t="shared" si="103"/>
        <v/>
      </c>
      <c r="O692" s="251" t="str">
        <f t="shared" si="104"/>
        <v/>
      </c>
      <c r="P692" s="251" t="str">
        <f t="shared" si="105"/>
        <v/>
      </c>
      <c r="Q692" s="251" t="str">
        <f t="shared" si="106"/>
        <v/>
      </c>
      <c r="R692" s="251" t="str">
        <f t="shared" si="107"/>
        <v/>
      </c>
      <c r="S692" s="252" t="str">
        <f t="shared" si="108"/>
        <v/>
      </c>
      <c r="T692" s="253"/>
      <c r="U692" s="254">
        <v>0.33300000000000002</v>
      </c>
      <c r="V692" s="254">
        <v>0.32400000000000001</v>
      </c>
      <c r="W692" s="254">
        <v>0.32</v>
      </c>
      <c r="X692" s="254">
        <v>0.307</v>
      </c>
      <c r="Y692" s="254">
        <v>0.29299999999999998</v>
      </c>
      <c r="Z692" s="254">
        <v>0.29099999999999998</v>
      </c>
    </row>
    <row r="693" spans="13:26" x14ac:dyDescent="0.35">
      <c r="M693" s="250">
        <v>10109</v>
      </c>
      <c r="N693" s="251" t="str">
        <f t="shared" si="103"/>
        <v/>
      </c>
      <c r="O693" s="251" t="str">
        <f t="shared" si="104"/>
        <v/>
      </c>
      <c r="P693" s="251" t="str">
        <f t="shared" si="105"/>
        <v/>
      </c>
      <c r="Q693" s="251" t="str">
        <f t="shared" si="106"/>
        <v/>
      </c>
      <c r="R693" s="251" t="str">
        <f t="shared" si="107"/>
        <v/>
      </c>
      <c r="S693" s="252" t="str">
        <f t="shared" si="108"/>
        <v/>
      </c>
      <c r="T693" s="253"/>
      <c r="U693" s="254">
        <v>0.34699999999999998</v>
      </c>
      <c r="V693" s="254">
        <v>0.33900000000000002</v>
      </c>
      <c r="W693" s="254">
        <v>0.33500000000000002</v>
      </c>
      <c r="X693" s="254">
        <v>0.32100000000000001</v>
      </c>
      <c r="Y693" s="254">
        <v>0.317</v>
      </c>
      <c r="Z693" s="254">
        <v>0.307</v>
      </c>
    </row>
    <row r="694" spans="13:26" x14ac:dyDescent="0.35">
      <c r="M694" s="250">
        <v>12648</v>
      </c>
      <c r="N694" s="251" t="str">
        <f t="shared" si="103"/>
        <v/>
      </c>
      <c r="O694" s="251" t="str">
        <f t="shared" si="104"/>
        <v/>
      </c>
      <c r="P694" s="251" t="str">
        <f t="shared" si="105"/>
        <v/>
      </c>
      <c r="Q694" s="251" t="str">
        <f t="shared" si="106"/>
        <v/>
      </c>
      <c r="R694" s="251" t="str">
        <f t="shared" si="107"/>
        <v/>
      </c>
      <c r="S694" s="252" t="str">
        <f t="shared" si="108"/>
        <v/>
      </c>
      <c r="T694" s="253"/>
      <c r="U694" s="254">
        <v>0.35699999999999998</v>
      </c>
      <c r="V694" s="254">
        <v>0.34799999999999998</v>
      </c>
      <c r="W694" s="254">
        <v>0.34499999999999997</v>
      </c>
      <c r="X694" s="254">
        <v>0.33100000000000002</v>
      </c>
      <c r="Y694" s="254">
        <v>0.32700000000000001</v>
      </c>
      <c r="Z694" s="254">
        <v>0.317</v>
      </c>
    </row>
    <row r="695" spans="13:26" x14ac:dyDescent="0.35">
      <c r="M695" s="250">
        <v>12648</v>
      </c>
      <c r="N695" s="251" t="str">
        <f>IF($R$11&gt;=M694+0.01,U695,"")</f>
        <v/>
      </c>
      <c r="O695" s="251" t="str">
        <f>IF($R$11&gt;=M694,V695,"")</f>
        <v/>
      </c>
      <c r="P695" s="251" t="str">
        <f>IF($R$11&gt;=M694,W695,"")</f>
        <v/>
      </c>
      <c r="Q695" s="251" t="str">
        <f>IF($R$11&gt;=M694,X695,"")</f>
        <v/>
      </c>
      <c r="R695" s="252" t="str">
        <f>IF($R$11&gt;=M694,Y695,"")</f>
        <v/>
      </c>
      <c r="S695" s="251" t="str">
        <f>IF($R$11&gt;=M694,Z695,"")</f>
        <v/>
      </c>
      <c r="T695" s="253"/>
      <c r="U695" s="254">
        <v>0.36599999999999999</v>
      </c>
      <c r="V695" s="254">
        <v>0.35799999999999998</v>
      </c>
      <c r="W695" s="254">
        <v>0.35399999999999998</v>
      </c>
      <c r="X695" s="254">
        <v>0.34100000000000003</v>
      </c>
      <c r="Y695" s="254">
        <v>0.33700000000000002</v>
      </c>
      <c r="Z695" s="254">
        <v>0.32600000000000001</v>
      </c>
    </row>
    <row r="696" spans="13:26" x14ac:dyDescent="0.35">
      <c r="M696" s="249"/>
      <c r="N696" s="280" t="str">
        <f>IF($A$15=3,IF($A$2=4,IF($I$2=0,SUM(N666:N695),""),""),"")</f>
        <v/>
      </c>
      <c r="O696" s="281" t="str">
        <f>IF($A$15=3,IF($A$2=4,IF($I$2=1,SUM(O666:O695),""),""),"")</f>
        <v/>
      </c>
      <c r="P696" s="281" t="str">
        <f>IF($A$15=3,IF($A$2=4,IF($I$2=2,SUM(P666:P695),""),""),"")</f>
        <v/>
      </c>
      <c r="Q696" s="281" t="str">
        <f>IF($A$15=3,IF($A$2=4,IF($I$2=3,SUM(Q666:Q695),""),""),"")</f>
        <v/>
      </c>
      <c r="R696" s="281" t="str">
        <f>IF($A$15=3,IF($A$2=4,IF($I$2=4,SUM(R666:R695),""),""),"")</f>
        <v/>
      </c>
      <c r="S696" s="282" t="str">
        <f>IF($A$15=3,IF($A$2=4,IF($I$2=5,SUM(S666:S695),""),""),"")</f>
        <v/>
      </c>
      <c r="T696" s="260">
        <f>SUM(N696:S696)</f>
        <v>0</v>
      </c>
      <c r="U696" s="253"/>
      <c r="V696" s="253"/>
      <c r="W696" s="253"/>
      <c r="X696" s="253"/>
      <c r="Y696" s="253"/>
      <c r="Z696" s="253"/>
    </row>
    <row r="697" spans="13:26" x14ac:dyDescent="0.35">
      <c r="M697" s="249"/>
      <c r="N697" s="249"/>
      <c r="O697" s="249"/>
      <c r="P697" s="249"/>
      <c r="Q697" s="249"/>
      <c r="R697" s="249"/>
      <c r="S697" s="249"/>
      <c r="T697" s="253"/>
      <c r="U697" s="253"/>
      <c r="V697" s="253"/>
      <c r="W697" s="253"/>
      <c r="X697" s="253"/>
      <c r="Y697" s="253"/>
      <c r="Z697" s="253"/>
    </row>
    <row r="698" spans="13:26" x14ac:dyDescent="0.35">
      <c r="M698" s="249"/>
      <c r="N698" s="249"/>
      <c r="O698" s="249"/>
      <c r="P698" s="249"/>
      <c r="Q698" s="249"/>
      <c r="R698" s="249"/>
      <c r="S698" s="249"/>
      <c r="T698" s="253"/>
      <c r="U698" s="253"/>
      <c r="V698" s="253"/>
      <c r="W698" s="253"/>
      <c r="X698" s="253"/>
      <c r="Y698" s="253"/>
      <c r="Z698" s="253"/>
    </row>
    <row r="699" spans="13:26" x14ac:dyDescent="0.35">
      <c r="M699" s="249"/>
      <c r="N699" s="249"/>
      <c r="O699" s="249"/>
      <c r="P699" s="249"/>
      <c r="Q699" s="249"/>
      <c r="R699" s="249"/>
      <c r="S699" s="249"/>
      <c r="T699" s="253"/>
      <c r="U699" s="253"/>
      <c r="V699" s="253"/>
      <c r="W699" s="253"/>
      <c r="X699" s="253"/>
      <c r="Y699" s="253"/>
      <c r="Z699" s="253"/>
    </row>
    <row r="700" spans="13:26" x14ac:dyDescent="0.35">
      <c r="M700" s="263" t="s">
        <v>214</v>
      </c>
      <c r="N700" s="284"/>
      <c r="O700" s="284" t="s">
        <v>257</v>
      </c>
      <c r="P700" s="284"/>
      <c r="Q700" s="284"/>
      <c r="R700" s="284"/>
      <c r="S700" s="285"/>
      <c r="T700" s="253"/>
      <c r="U700" s="286" t="str">
        <f>O700</f>
        <v>Tabelas de IRS de retenção na fonte referente a 2022 na Madeira</v>
      </c>
      <c r="V700" s="253"/>
      <c r="W700" s="253"/>
      <c r="X700" s="253"/>
      <c r="Y700" s="253"/>
      <c r="Z700" s="253"/>
    </row>
    <row r="701" spans="13:26" x14ac:dyDescent="0.35">
      <c r="M701" s="285"/>
      <c r="N701" s="284"/>
      <c r="O701" s="284" t="s">
        <v>189</v>
      </c>
      <c r="P701" s="285"/>
      <c r="Q701" s="284"/>
      <c r="R701" s="284"/>
      <c r="S701" s="285"/>
      <c r="T701" s="253"/>
      <c r="U701" s="286" t="str">
        <f>O701</f>
        <v>T A B E L A   V - TRABALHO DEPENDENTE</v>
      </c>
      <c r="V701" s="253"/>
      <c r="W701" s="253"/>
      <c r="X701" s="253"/>
      <c r="Y701" s="253"/>
      <c r="Z701" s="253"/>
    </row>
    <row r="702" spans="13:26" x14ac:dyDescent="0.35">
      <c r="M702" s="284"/>
      <c r="N702" s="284"/>
      <c r="O702" s="284" t="s">
        <v>190</v>
      </c>
      <c r="P702" s="285"/>
      <c r="Q702" s="284"/>
      <c r="R702" s="284"/>
      <c r="S702" s="285"/>
      <c r="T702" s="253"/>
      <c r="U702" s="286" t="str">
        <f>O702</f>
        <v>CASADO UNICO TITULAR - DEFICIENTE</v>
      </c>
      <c r="V702" s="253"/>
      <c r="W702" s="253"/>
      <c r="X702" s="253"/>
      <c r="Y702" s="253"/>
      <c r="Z702" s="253"/>
    </row>
    <row r="703" spans="13:26" x14ac:dyDescent="0.35">
      <c r="M703" s="267" t="s">
        <v>154</v>
      </c>
      <c r="N703" s="268" t="s">
        <v>155</v>
      </c>
      <c r="O703" s="268" t="s">
        <v>156</v>
      </c>
      <c r="P703" s="268" t="s">
        <v>157</v>
      </c>
      <c r="Q703" s="268" t="s">
        <v>158</v>
      </c>
      <c r="R703" s="268" t="s">
        <v>159</v>
      </c>
      <c r="S703" s="268" t="s">
        <v>160</v>
      </c>
      <c r="T703" s="253"/>
      <c r="U703" s="269" t="str">
        <f t="shared" ref="U703:Z703" si="109">N703</f>
        <v>0 dep</v>
      </c>
      <c r="V703" s="269" t="str">
        <f t="shared" si="109"/>
        <v>1 dep</v>
      </c>
      <c r="W703" s="269" t="str">
        <f t="shared" si="109"/>
        <v>2 dep</v>
      </c>
      <c r="X703" s="269" t="str">
        <f t="shared" si="109"/>
        <v>3 dep</v>
      </c>
      <c r="Y703" s="269" t="str">
        <f t="shared" si="109"/>
        <v>4 dep</v>
      </c>
      <c r="Z703" s="269" t="str">
        <f t="shared" si="109"/>
        <v>5 dep. ou +</v>
      </c>
    </row>
    <row r="704" spans="13:26" x14ac:dyDescent="0.35">
      <c r="M704" s="250">
        <v>1665</v>
      </c>
      <c r="N704" s="251">
        <f>IF($R$11&lt;=M704,IF($R$11&gt;=0,0,""),"")</f>
        <v>0</v>
      </c>
      <c r="O704" s="251">
        <f>IF($R$11&lt;=M704,IF($R$11&gt;=0,0,""),"")</f>
        <v>0</v>
      </c>
      <c r="P704" s="251">
        <f>IF($R$11&lt;=M704,IF($R$11&gt;=0,0,""),"")</f>
        <v>0</v>
      </c>
      <c r="Q704" s="251">
        <f>IF($R$11&lt;=M704,IF($R$11&gt;=0,0,""),"")</f>
        <v>0</v>
      </c>
      <c r="R704" s="251">
        <f>IF($R$11&lt;=M704,IF($R$11&gt;=0,0,""),"")</f>
        <v>0</v>
      </c>
      <c r="S704" s="251">
        <f>IF($R$11&lt;=M704,IF($R$11&gt;=0,0,""),"")</f>
        <v>0</v>
      </c>
      <c r="T704" s="253"/>
      <c r="U704" s="254">
        <v>0</v>
      </c>
      <c r="V704" s="254">
        <v>0</v>
      </c>
      <c r="W704" s="254">
        <v>0</v>
      </c>
      <c r="X704" s="254">
        <v>0</v>
      </c>
      <c r="Y704" s="254">
        <v>0</v>
      </c>
      <c r="Z704" s="254">
        <v>0</v>
      </c>
    </row>
    <row r="705" spans="13:26" x14ac:dyDescent="0.35">
      <c r="M705" s="250">
        <v>1769</v>
      </c>
      <c r="N705" s="251" t="str">
        <f>IF($R$11&lt;=M705,IF($R$11&gt;=M704+0.01,U705,""),"")</f>
        <v/>
      </c>
      <c r="O705" s="251" t="str">
        <f>IF($R$11&lt;=M705,IF($R$11&gt;=M704+0.01,V705,""),"")</f>
        <v/>
      </c>
      <c r="P705" s="251" t="str">
        <f>IF($R$11&lt;=M705,IF($R$11&gt;=M704+0.01,W705,""),"")</f>
        <v/>
      </c>
      <c r="Q705" s="251" t="str">
        <f>IF($R$11&lt;=M705,IF($R$11&gt;=M704+0.01,X705,""),"")</f>
        <v/>
      </c>
      <c r="R705" s="251" t="str">
        <f>IF($R$11&lt;=M705,IF($R$11&gt;=M704+0.01,Y705,""),"")</f>
        <v/>
      </c>
      <c r="S705" s="252" t="str">
        <f>IF($R$11&lt;=M705,IF($R$11&gt;=M704+0.01,Z705,""),"")</f>
        <v/>
      </c>
      <c r="T705" s="253"/>
      <c r="U705" s="254">
        <v>6.0000000000000001E-3</v>
      </c>
      <c r="V705" s="254">
        <v>0</v>
      </c>
      <c r="W705" s="254">
        <v>0</v>
      </c>
      <c r="X705" s="254">
        <v>0</v>
      </c>
      <c r="Y705" s="254">
        <v>0</v>
      </c>
      <c r="Z705" s="254">
        <v>0</v>
      </c>
    </row>
    <row r="706" spans="13:26" x14ac:dyDescent="0.35">
      <c r="M706" s="250">
        <v>1923</v>
      </c>
      <c r="N706" s="251" t="str">
        <f>IF($R$11&lt;=M706,IF($R$11&gt;=M705+0.01,U706,""),"")</f>
        <v/>
      </c>
      <c r="O706" s="251" t="str">
        <f>IF($R$11&lt;=M706,IF($R$11&gt;=M705+0.01,V706,""),"")</f>
        <v/>
      </c>
      <c r="P706" s="251" t="str">
        <f>IF($R$11&lt;=M706,IF($R$11&gt;=M705+0.01,W706,""),"")</f>
        <v/>
      </c>
      <c r="Q706" s="251" t="str">
        <f>IF($R$11&lt;=M706,IF($R$11&gt;=M705+0.01,X706,""),"")</f>
        <v/>
      </c>
      <c r="R706" s="251" t="str">
        <f>IF($R$11&lt;=M706,IF($R$11&gt;=M705+0.01,Y706,""),"")</f>
        <v/>
      </c>
      <c r="S706" s="252" t="str">
        <f>IF($R$11&lt;=M706,IF($R$11&gt;=M705+0.01,Z706,""),"")</f>
        <v/>
      </c>
      <c r="T706" s="253"/>
      <c r="U706" s="254">
        <v>2.8000000000000001E-2</v>
      </c>
      <c r="V706" s="254">
        <v>8.0000000000000002E-3</v>
      </c>
      <c r="W706" s="254">
        <v>2E-3</v>
      </c>
      <c r="X706" s="254">
        <v>0</v>
      </c>
      <c r="Y706" s="254">
        <v>0</v>
      </c>
      <c r="Z706" s="254">
        <v>0</v>
      </c>
    </row>
    <row r="707" spans="13:26" x14ac:dyDescent="0.35">
      <c r="M707" s="250">
        <v>1990</v>
      </c>
      <c r="N707" s="251" t="str">
        <f>IF($R$11&lt;=M707,IF($R$11&gt;=M706+0.01,U707,""),"")</f>
        <v/>
      </c>
      <c r="O707" s="251" t="str">
        <f>IF($R$11&lt;=M707,IF($R$11&gt;=M706+0.01,V707,""),"")</f>
        <v/>
      </c>
      <c r="P707" s="251" t="str">
        <f>IF($R$11&lt;=M707,IF($R$11&gt;=M706+0.01,W707,""),"")</f>
        <v/>
      </c>
      <c r="Q707" s="251" t="str">
        <f>IF($R$11&lt;=M707,IF($R$11&gt;=M706+0.01,X707,""),"")</f>
        <v/>
      </c>
      <c r="R707" s="251" t="str">
        <f>IF($R$11&lt;=M707,IF($R$11&gt;=M706+0.01,Y707,""),"")</f>
        <v/>
      </c>
      <c r="S707" s="252" t="str">
        <f>IF($R$11&lt;=M707,IF($R$11&gt;=M706+0.01,Z707,""),"")</f>
        <v/>
      </c>
      <c r="T707" s="253"/>
      <c r="U707" s="254">
        <v>3.6999999999999998E-2</v>
      </c>
      <c r="V707" s="254">
        <v>2.4E-2</v>
      </c>
      <c r="W707" s="254">
        <v>1.7000000000000001E-2</v>
      </c>
      <c r="X707" s="254">
        <v>3.0000000000000001E-3</v>
      </c>
      <c r="Y707" s="254">
        <v>0</v>
      </c>
      <c r="Z707" s="254">
        <v>0</v>
      </c>
    </row>
    <row r="708" spans="13:26" x14ac:dyDescent="0.35">
      <c r="M708" s="250">
        <v>2364</v>
      </c>
      <c r="N708" s="251" t="str">
        <f>IF($R$11&lt;=M708,IF($R$11&gt;=M707+0.01,U708,""),"")</f>
        <v/>
      </c>
      <c r="O708" s="251" t="str">
        <f>IF($R$11&lt;=M708,IF($R$11&gt;=M707+0.01,V708,""),"")</f>
        <v/>
      </c>
      <c r="P708" s="251" t="str">
        <f>IF($R$11&lt;=M708,IF($R$11&gt;=M707+0.01,W708,""),"")</f>
        <v/>
      </c>
      <c r="Q708" s="251" t="str">
        <f>IF($R$11&lt;=M708,IF($R$11&gt;=M707+0.01,X708,""),"")</f>
        <v/>
      </c>
      <c r="R708" s="251" t="str">
        <f>IF($R$11&lt;=M708,IF($R$11&gt;=M707+0.01,Y708,""),"")</f>
        <v/>
      </c>
      <c r="S708" s="252" t="str">
        <f>IF($R$11&lt;=M708,IF($R$11&gt;=M707+0.01,Z708,""),"")</f>
        <v/>
      </c>
      <c r="T708" s="253"/>
      <c r="U708" s="254">
        <v>4.8000000000000001E-2</v>
      </c>
      <c r="V708" s="254">
        <v>4.2000000000000003E-2</v>
      </c>
      <c r="W708" s="254">
        <v>2.7E-2</v>
      </c>
      <c r="X708" s="254">
        <v>1.2E-2</v>
      </c>
      <c r="Y708" s="254">
        <v>0</v>
      </c>
      <c r="Z708" s="254">
        <v>0</v>
      </c>
    </row>
    <row r="709" spans="13:26" x14ac:dyDescent="0.35">
      <c r="M709" s="250">
        <v>2543</v>
      </c>
      <c r="N709" s="251" t="str">
        <f>IF($R$11&lt;=M709,IF($R$11&gt;=M708+0.01,U709,""),"")</f>
        <v/>
      </c>
      <c r="O709" s="251" t="str">
        <f>IF($R$11&lt;=M709,IF($R$11&gt;=M708+0.01,V709,""),"")</f>
        <v/>
      </c>
      <c r="P709" s="251" t="str">
        <f>IF($R$11&lt;=M709,IF($R$11&gt;=M708+0.01,W709,""),"")</f>
        <v/>
      </c>
      <c r="Q709" s="251" t="str">
        <f>IF($R$11&lt;=M709,IF($R$11&gt;=M708+0.01,X709,""),"")</f>
        <v/>
      </c>
      <c r="R709" s="251" t="str">
        <f>IF($R$11&lt;=M709,IF($R$11&gt;=M708+0.01,Y709,""),"")</f>
        <v/>
      </c>
      <c r="S709" s="252" t="str">
        <f>IF($R$11&lt;=M709,IF($R$11&gt;=M708+0.01,Z709,""),"")</f>
        <v/>
      </c>
      <c r="T709" s="253"/>
      <c r="U709" s="254">
        <v>5.5E-2</v>
      </c>
      <c r="V709" s="254">
        <v>0.05</v>
      </c>
      <c r="W709" s="254">
        <v>3.5000000000000003E-2</v>
      </c>
      <c r="X709" s="254">
        <v>0.02</v>
      </c>
      <c r="Y709" s="254">
        <v>5.0000000000000001E-3</v>
      </c>
      <c r="Z709" s="254">
        <v>0</v>
      </c>
    </row>
    <row r="710" spans="13:26" x14ac:dyDescent="0.35">
      <c r="M710" s="250">
        <v>2792</v>
      </c>
      <c r="N710" s="251" t="str">
        <f t="shared" ref="N710:N731" si="110">IF($R$11&lt;=M710,IF($R$11&gt;=M709+0.01,U710,""),"")</f>
        <v/>
      </c>
      <c r="O710" s="251" t="str">
        <f t="shared" ref="O710:O731" si="111">IF($R$11&lt;=M710,IF($R$11&gt;=M709+0.01,V710,""),"")</f>
        <v/>
      </c>
      <c r="P710" s="251" t="str">
        <f t="shared" ref="P710:P731" si="112">IF($R$11&lt;=M710,IF($R$11&gt;=M709+0.01,W710,""),"")</f>
        <v/>
      </c>
      <c r="Q710" s="251" t="str">
        <f t="shared" ref="Q710:Q731" si="113">IF($R$11&lt;=M710,IF($R$11&gt;=M709+0.01,X710,""),"")</f>
        <v/>
      </c>
      <c r="R710" s="251" t="str">
        <f t="shared" ref="R710:R731" si="114">IF($R$11&lt;=M710,IF($R$11&gt;=M709+0.01,Y710,""),"")</f>
        <v/>
      </c>
      <c r="S710" s="252" t="str">
        <f t="shared" ref="S710:S731" si="115">IF($R$11&lt;=M710,IF($R$11&gt;=M709+0.01,Z710,""),"")</f>
        <v/>
      </c>
      <c r="T710" s="253"/>
      <c r="U710" s="254">
        <v>7.0999999999999994E-2</v>
      </c>
      <c r="V710" s="254">
        <v>6.5000000000000002E-2</v>
      </c>
      <c r="W710" s="254">
        <v>5.1999999999999998E-2</v>
      </c>
      <c r="X710" s="254">
        <v>3.6999999999999998E-2</v>
      </c>
      <c r="Y710" s="254">
        <v>0.03</v>
      </c>
      <c r="Z710" s="254">
        <v>1.4999999999999999E-2</v>
      </c>
    </row>
    <row r="711" spans="13:26" x14ac:dyDescent="0.35">
      <c r="M711" s="250">
        <v>2998</v>
      </c>
      <c r="N711" s="251" t="str">
        <f t="shared" si="110"/>
        <v/>
      </c>
      <c r="O711" s="251" t="str">
        <f t="shared" si="111"/>
        <v/>
      </c>
      <c r="P711" s="251" t="str">
        <f t="shared" si="112"/>
        <v/>
      </c>
      <c r="Q711" s="251" t="str">
        <f t="shared" si="113"/>
        <v/>
      </c>
      <c r="R711" s="251" t="str">
        <f t="shared" si="114"/>
        <v/>
      </c>
      <c r="S711" s="252" t="str">
        <f t="shared" si="115"/>
        <v/>
      </c>
      <c r="T711" s="253"/>
      <c r="U711" s="254">
        <v>7.9000000000000001E-2</v>
      </c>
      <c r="V711" s="254">
        <v>7.3999999999999996E-2</v>
      </c>
      <c r="W711" s="254">
        <v>0.06</v>
      </c>
      <c r="X711" s="254">
        <v>4.4999999999999998E-2</v>
      </c>
      <c r="Y711" s="254">
        <v>3.7999999999999999E-2</v>
      </c>
      <c r="Z711" s="254">
        <v>2.3E-2</v>
      </c>
    </row>
    <row r="712" spans="13:26" x14ac:dyDescent="0.35">
      <c r="M712" s="250">
        <v>3215</v>
      </c>
      <c r="N712" s="251" t="str">
        <f t="shared" si="110"/>
        <v/>
      </c>
      <c r="O712" s="251" t="str">
        <f t="shared" si="111"/>
        <v/>
      </c>
      <c r="P712" s="251" t="str">
        <f t="shared" si="112"/>
        <v/>
      </c>
      <c r="Q712" s="251" t="str">
        <f t="shared" si="113"/>
        <v/>
      </c>
      <c r="R712" s="251" t="str">
        <f t="shared" si="114"/>
        <v/>
      </c>
      <c r="S712" s="252" t="str">
        <f t="shared" si="115"/>
        <v/>
      </c>
      <c r="T712" s="253"/>
      <c r="U712" s="254">
        <v>0.10199999999999999</v>
      </c>
      <c r="V712" s="254">
        <v>9.5000000000000001E-2</v>
      </c>
      <c r="W712" s="254">
        <v>7.9000000000000001E-2</v>
      </c>
      <c r="X712" s="254">
        <v>6.4000000000000001E-2</v>
      </c>
      <c r="Y712" s="254">
        <v>5.6000000000000001E-2</v>
      </c>
      <c r="Z712" s="254">
        <v>0.04</v>
      </c>
    </row>
    <row r="713" spans="13:26" x14ac:dyDescent="0.35">
      <c r="M713" s="250">
        <v>3387</v>
      </c>
      <c r="N713" s="251" t="str">
        <f t="shared" si="110"/>
        <v/>
      </c>
      <c r="O713" s="251" t="str">
        <f t="shared" si="111"/>
        <v/>
      </c>
      <c r="P713" s="251" t="str">
        <f t="shared" si="112"/>
        <v/>
      </c>
      <c r="Q713" s="251" t="str">
        <f t="shared" si="113"/>
        <v/>
      </c>
      <c r="R713" s="251" t="str">
        <f t="shared" si="114"/>
        <v/>
      </c>
      <c r="S713" s="252" t="str">
        <f t="shared" si="115"/>
        <v/>
      </c>
      <c r="T713" s="253"/>
      <c r="U713" s="254">
        <v>0.113</v>
      </c>
      <c r="V713" s="254">
        <v>0.11</v>
      </c>
      <c r="W713" s="254">
        <v>9.7000000000000003E-2</v>
      </c>
      <c r="X713" s="254">
        <v>8.4000000000000005E-2</v>
      </c>
      <c r="Y713" s="254">
        <v>0.08</v>
      </c>
      <c r="Z713" s="254">
        <v>7.6999999999999999E-2</v>
      </c>
    </row>
    <row r="714" spans="13:26" x14ac:dyDescent="0.35">
      <c r="M714" s="250">
        <v>3545</v>
      </c>
      <c r="N714" s="251" t="str">
        <f t="shared" si="110"/>
        <v/>
      </c>
      <c r="O714" s="251" t="str">
        <f t="shared" si="111"/>
        <v/>
      </c>
      <c r="P714" s="251" t="str">
        <f t="shared" si="112"/>
        <v/>
      </c>
      <c r="Q714" s="251" t="str">
        <f t="shared" si="113"/>
        <v/>
      </c>
      <c r="R714" s="251" t="str">
        <f t="shared" si="114"/>
        <v/>
      </c>
      <c r="S714" s="252" t="str">
        <f t="shared" si="115"/>
        <v/>
      </c>
      <c r="T714" s="253"/>
      <c r="U714" s="254">
        <v>0.126</v>
      </c>
      <c r="V714" s="254">
        <v>0.125</v>
      </c>
      <c r="W714" s="254">
        <v>0.111</v>
      </c>
      <c r="X714" s="254">
        <v>9.8000000000000004E-2</v>
      </c>
      <c r="Y714" s="254">
        <v>9.4E-2</v>
      </c>
      <c r="Z714" s="254">
        <v>0.09</v>
      </c>
    </row>
    <row r="715" spans="13:26" x14ac:dyDescent="0.35">
      <c r="M715" s="250">
        <v>3649</v>
      </c>
      <c r="N715" s="251" t="str">
        <f t="shared" si="110"/>
        <v/>
      </c>
      <c r="O715" s="251" t="str">
        <f t="shared" si="111"/>
        <v/>
      </c>
      <c r="P715" s="251" t="str">
        <f t="shared" si="112"/>
        <v/>
      </c>
      <c r="Q715" s="251" t="str">
        <f t="shared" si="113"/>
        <v/>
      </c>
      <c r="R715" s="251" t="str">
        <f t="shared" si="114"/>
        <v/>
      </c>
      <c r="S715" s="252" t="str">
        <f t="shared" si="115"/>
        <v/>
      </c>
      <c r="T715" s="253"/>
      <c r="U715" s="254">
        <v>0.13500000000000001</v>
      </c>
      <c r="V715" s="254">
        <v>0.13400000000000001</v>
      </c>
      <c r="W715" s="254">
        <v>0.13</v>
      </c>
      <c r="X715" s="254">
        <v>0.107</v>
      </c>
      <c r="Y715" s="254">
        <v>0.10299999999999999</v>
      </c>
      <c r="Z715" s="254">
        <v>0.1</v>
      </c>
    </row>
    <row r="716" spans="13:26" x14ac:dyDescent="0.35">
      <c r="M716" s="250">
        <v>3861</v>
      </c>
      <c r="N716" s="251" t="str">
        <f t="shared" si="110"/>
        <v/>
      </c>
      <c r="O716" s="251" t="str">
        <f t="shared" si="111"/>
        <v/>
      </c>
      <c r="P716" s="251" t="str">
        <f t="shared" si="112"/>
        <v/>
      </c>
      <c r="Q716" s="251" t="str">
        <f t="shared" si="113"/>
        <v/>
      </c>
      <c r="R716" s="251" t="str">
        <f t="shared" si="114"/>
        <v/>
      </c>
      <c r="S716" s="252" t="str">
        <f t="shared" si="115"/>
        <v/>
      </c>
      <c r="T716" s="253"/>
      <c r="U716" s="254">
        <v>0.14399999999999999</v>
      </c>
      <c r="V716" s="254">
        <v>0.14299999999999999</v>
      </c>
      <c r="W716" s="254">
        <v>0.13900000000000001</v>
      </c>
      <c r="X716" s="254">
        <v>0.11700000000000001</v>
      </c>
      <c r="Y716" s="254">
        <v>0.113</v>
      </c>
      <c r="Z716" s="254">
        <v>0.109</v>
      </c>
    </row>
    <row r="717" spans="13:26" x14ac:dyDescent="0.35">
      <c r="M717" s="250">
        <v>3969</v>
      </c>
      <c r="N717" s="251" t="str">
        <f t="shared" si="110"/>
        <v/>
      </c>
      <c r="O717" s="251" t="str">
        <f t="shared" si="111"/>
        <v/>
      </c>
      <c r="P717" s="251" t="str">
        <f t="shared" si="112"/>
        <v/>
      </c>
      <c r="Q717" s="251" t="str">
        <f t="shared" si="113"/>
        <v/>
      </c>
      <c r="R717" s="251" t="str">
        <f t="shared" si="114"/>
        <v/>
      </c>
      <c r="S717" s="252" t="str">
        <f t="shared" si="115"/>
        <v/>
      </c>
      <c r="T717" s="253"/>
      <c r="U717" s="254">
        <v>0.153</v>
      </c>
      <c r="V717" s="254">
        <v>0.152</v>
      </c>
      <c r="W717" s="254">
        <v>0.14899999999999999</v>
      </c>
      <c r="X717" s="254">
        <v>0.126</v>
      </c>
      <c r="Y717" s="254">
        <v>0.123</v>
      </c>
      <c r="Z717" s="254">
        <v>0.11700000000000001</v>
      </c>
    </row>
    <row r="718" spans="13:26" x14ac:dyDescent="0.35">
      <c r="M718" s="250">
        <v>4290</v>
      </c>
      <c r="N718" s="251" t="str">
        <f t="shared" si="110"/>
        <v/>
      </c>
      <c r="O718" s="251" t="str">
        <f t="shared" si="111"/>
        <v/>
      </c>
      <c r="P718" s="251" t="str">
        <f t="shared" si="112"/>
        <v/>
      </c>
      <c r="Q718" s="251" t="str">
        <f t="shared" si="113"/>
        <v/>
      </c>
      <c r="R718" s="251" t="str">
        <f t="shared" si="114"/>
        <v/>
      </c>
      <c r="S718" s="252" t="str">
        <f t="shared" si="115"/>
        <v/>
      </c>
      <c r="T718" s="253"/>
      <c r="U718" s="254">
        <v>0.16200000000000001</v>
      </c>
      <c r="V718" s="254">
        <v>0.161</v>
      </c>
      <c r="W718" s="254">
        <v>0.158</v>
      </c>
      <c r="X718" s="254">
        <v>0.13600000000000001</v>
      </c>
      <c r="Y718" s="254">
        <v>0.13200000000000001</v>
      </c>
      <c r="Z718" s="254">
        <v>0.128</v>
      </c>
    </row>
    <row r="719" spans="13:26" x14ac:dyDescent="0.35">
      <c r="M719" s="250">
        <v>4497</v>
      </c>
      <c r="N719" s="251" t="str">
        <f t="shared" si="110"/>
        <v/>
      </c>
      <c r="O719" s="251" t="str">
        <f t="shared" si="111"/>
        <v/>
      </c>
      <c r="P719" s="251" t="str">
        <f t="shared" si="112"/>
        <v/>
      </c>
      <c r="Q719" s="251" t="str">
        <f t="shared" si="113"/>
        <v/>
      </c>
      <c r="R719" s="251" t="str">
        <f t="shared" si="114"/>
        <v/>
      </c>
      <c r="S719" s="252" t="str">
        <f t="shared" si="115"/>
        <v/>
      </c>
      <c r="T719" s="253"/>
      <c r="U719" s="254">
        <v>0.17100000000000001</v>
      </c>
      <c r="V719" s="254">
        <v>0.17</v>
      </c>
      <c r="W719" s="254">
        <v>0.16600000000000001</v>
      </c>
      <c r="X719" s="254">
        <v>0.14499999999999999</v>
      </c>
      <c r="Y719" s="254">
        <v>0.14099999999999999</v>
      </c>
      <c r="Z719" s="254">
        <v>0.13800000000000001</v>
      </c>
    </row>
    <row r="720" spans="13:26" x14ac:dyDescent="0.35">
      <c r="M720" s="250">
        <v>4936</v>
      </c>
      <c r="N720" s="251" t="str">
        <f t="shared" si="110"/>
        <v/>
      </c>
      <c r="O720" s="251" t="str">
        <f t="shared" si="111"/>
        <v/>
      </c>
      <c r="P720" s="251" t="str">
        <f t="shared" si="112"/>
        <v/>
      </c>
      <c r="Q720" s="251" t="str">
        <f t="shared" si="113"/>
        <v/>
      </c>
      <c r="R720" s="251" t="str">
        <f t="shared" si="114"/>
        <v/>
      </c>
      <c r="S720" s="252" t="str">
        <f t="shared" si="115"/>
        <v/>
      </c>
      <c r="T720" s="253"/>
      <c r="U720" s="254">
        <v>0.18</v>
      </c>
      <c r="V720" s="254">
        <v>0.17899999999999999</v>
      </c>
      <c r="W720" s="254">
        <v>0.17499999999999999</v>
      </c>
      <c r="X720" s="254">
        <v>0.154</v>
      </c>
      <c r="Y720" s="254">
        <v>0.15</v>
      </c>
      <c r="Z720" s="254">
        <v>0.14699999999999999</v>
      </c>
    </row>
    <row r="721" spans="13:26" x14ac:dyDescent="0.35">
      <c r="M721" s="250">
        <v>5364</v>
      </c>
      <c r="N721" s="251" t="str">
        <f t="shared" si="110"/>
        <v/>
      </c>
      <c r="O721" s="251" t="str">
        <f t="shared" si="111"/>
        <v/>
      </c>
      <c r="P721" s="251" t="str">
        <f t="shared" si="112"/>
        <v/>
      </c>
      <c r="Q721" s="251" t="str">
        <f t="shared" si="113"/>
        <v/>
      </c>
      <c r="R721" s="251" t="str">
        <f t="shared" si="114"/>
        <v/>
      </c>
      <c r="S721" s="252" t="str">
        <f t="shared" si="115"/>
        <v/>
      </c>
      <c r="T721" s="253"/>
      <c r="U721" s="254">
        <v>0.189</v>
      </c>
      <c r="V721" s="254">
        <v>0.188</v>
      </c>
      <c r="W721" s="254">
        <v>0.185</v>
      </c>
      <c r="X721" s="254">
        <v>0.16200000000000001</v>
      </c>
      <c r="Y721" s="254">
        <v>0.159</v>
      </c>
      <c r="Z721" s="254">
        <v>0.156</v>
      </c>
    </row>
    <row r="722" spans="13:26" x14ac:dyDescent="0.35">
      <c r="M722" s="250">
        <v>5576</v>
      </c>
      <c r="N722" s="251" t="str">
        <f t="shared" si="110"/>
        <v/>
      </c>
      <c r="O722" s="251" t="str">
        <f t="shared" si="111"/>
        <v/>
      </c>
      <c r="P722" s="251" t="str">
        <f t="shared" si="112"/>
        <v/>
      </c>
      <c r="Q722" s="251" t="str">
        <f t="shared" si="113"/>
        <v/>
      </c>
      <c r="R722" s="251" t="str">
        <f t="shared" si="114"/>
        <v/>
      </c>
      <c r="S722" s="252" t="str">
        <f t="shared" si="115"/>
        <v/>
      </c>
      <c r="T722" s="253"/>
      <c r="U722" s="254">
        <v>0.19800000000000001</v>
      </c>
      <c r="V722" s="254">
        <v>0.19800000000000001</v>
      </c>
      <c r="W722" s="254">
        <v>0.19400000000000001</v>
      </c>
      <c r="X722" s="254">
        <v>0.18099999999999999</v>
      </c>
      <c r="Y722" s="254">
        <v>0.16800000000000001</v>
      </c>
      <c r="Z722" s="254">
        <v>0.16400000000000001</v>
      </c>
    </row>
    <row r="723" spans="13:26" x14ac:dyDescent="0.35">
      <c r="M723" s="250">
        <v>6015</v>
      </c>
      <c r="N723" s="251" t="str">
        <f t="shared" si="110"/>
        <v/>
      </c>
      <c r="O723" s="251" t="str">
        <f t="shared" si="111"/>
        <v/>
      </c>
      <c r="P723" s="251" t="str">
        <f t="shared" si="112"/>
        <v/>
      </c>
      <c r="Q723" s="251" t="str">
        <f t="shared" si="113"/>
        <v/>
      </c>
      <c r="R723" s="251" t="str">
        <f t="shared" si="114"/>
        <v/>
      </c>
      <c r="S723" s="252" t="str">
        <f t="shared" si="115"/>
        <v/>
      </c>
      <c r="T723" s="253"/>
      <c r="U723" s="254">
        <v>0.20699999999999999</v>
      </c>
      <c r="V723" s="254">
        <v>0.20599999999999999</v>
      </c>
      <c r="W723" s="254">
        <v>0.20300000000000001</v>
      </c>
      <c r="X723" s="254">
        <v>0.19</v>
      </c>
      <c r="Y723" s="254">
        <v>0.17699999999999999</v>
      </c>
      <c r="Z723" s="254">
        <v>0.17399999999999999</v>
      </c>
    </row>
    <row r="724" spans="13:26" x14ac:dyDescent="0.35">
      <c r="M724" s="250">
        <v>6331</v>
      </c>
      <c r="N724" s="251" t="str">
        <f t="shared" si="110"/>
        <v/>
      </c>
      <c r="O724" s="251" t="str">
        <f t="shared" si="111"/>
        <v/>
      </c>
      <c r="P724" s="251" t="str">
        <f t="shared" si="112"/>
        <v/>
      </c>
      <c r="Q724" s="251" t="str">
        <f t="shared" si="113"/>
        <v/>
      </c>
      <c r="R724" s="251" t="str">
        <f t="shared" si="114"/>
        <v/>
      </c>
      <c r="S724" s="252" t="str">
        <f t="shared" si="115"/>
        <v/>
      </c>
      <c r="T724" s="253"/>
      <c r="U724" s="254">
        <v>0.216</v>
      </c>
      <c r="V724" s="254">
        <v>0.215</v>
      </c>
      <c r="W724" s="254">
        <v>0.21099999999999999</v>
      </c>
      <c r="X724" s="254">
        <v>0.19900000000000001</v>
      </c>
      <c r="Y724" s="254">
        <v>0.186</v>
      </c>
      <c r="Z724" s="254">
        <v>0.183</v>
      </c>
    </row>
    <row r="725" spans="13:26" x14ac:dyDescent="0.35">
      <c r="M725" s="250">
        <v>6920</v>
      </c>
      <c r="N725" s="251" t="str">
        <f t="shared" si="110"/>
        <v/>
      </c>
      <c r="O725" s="251" t="str">
        <f t="shared" si="111"/>
        <v/>
      </c>
      <c r="P725" s="251" t="str">
        <f t="shared" si="112"/>
        <v/>
      </c>
      <c r="Q725" s="251" t="str">
        <f t="shared" si="113"/>
        <v/>
      </c>
      <c r="R725" s="251" t="str">
        <f t="shared" si="114"/>
        <v/>
      </c>
      <c r="S725" s="252" t="str">
        <f t="shared" si="115"/>
        <v/>
      </c>
      <c r="T725" s="253"/>
      <c r="U725" s="254">
        <v>0.245</v>
      </c>
      <c r="V725" s="254">
        <v>0.24399999999999999</v>
      </c>
      <c r="W725" s="254">
        <v>0.24299999999999999</v>
      </c>
      <c r="X725" s="254">
        <v>0.22900000000000001</v>
      </c>
      <c r="Y725" s="254">
        <v>0.218</v>
      </c>
      <c r="Z725" s="254">
        <v>0.216</v>
      </c>
    </row>
    <row r="726" spans="13:26" x14ac:dyDescent="0.35">
      <c r="M726" s="250">
        <v>7452</v>
      </c>
      <c r="N726" s="251" t="str">
        <f t="shared" si="110"/>
        <v/>
      </c>
      <c r="O726" s="251" t="str">
        <f t="shared" si="111"/>
        <v/>
      </c>
      <c r="P726" s="251" t="str">
        <f t="shared" si="112"/>
        <v/>
      </c>
      <c r="Q726" s="251" t="str">
        <f t="shared" si="113"/>
        <v/>
      </c>
      <c r="R726" s="251" t="str">
        <f t="shared" si="114"/>
        <v/>
      </c>
      <c r="S726" s="252" t="str">
        <f t="shared" si="115"/>
        <v/>
      </c>
      <c r="T726" s="253"/>
      <c r="U726" s="254">
        <v>0.254</v>
      </c>
      <c r="V726" s="254">
        <v>0.253</v>
      </c>
      <c r="W726" s="254">
        <v>0.252</v>
      </c>
      <c r="X726" s="254">
        <v>0.24099999999999999</v>
      </c>
      <c r="Y726" s="254">
        <v>0.23699999999999999</v>
      </c>
      <c r="Z726" s="254">
        <v>0.22500000000000001</v>
      </c>
    </row>
    <row r="727" spans="13:26" x14ac:dyDescent="0.35">
      <c r="M727" s="250">
        <v>8299</v>
      </c>
      <c r="N727" s="251" t="str">
        <f t="shared" si="110"/>
        <v/>
      </c>
      <c r="O727" s="251" t="str">
        <f t="shared" si="111"/>
        <v/>
      </c>
      <c r="P727" s="251" t="str">
        <f t="shared" si="112"/>
        <v/>
      </c>
      <c r="Q727" s="251" t="str">
        <f t="shared" si="113"/>
        <v/>
      </c>
      <c r="R727" s="251" t="str">
        <f t="shared" si="114"/>
        <v/>
      </c>
      <c r="S727" s="252" t="str">
        <f t="shared" si="115"/>
        <v/>
      </c>
      <c r="T727" s="253"/>
      <c r="U727" s="254">
        <v>0.26400000000000001</v>
      </c>
      <c r="V727" s="254">
        <v>0.26300000000000001</v>
      </c>
      <c r="W727" s="254">
        <v>0.26200000000000001</v>
      </c>
      <c r="X727" s="254">
        <v>0.25</v>
      </c>
      <c r="Y727" s="254">
        <v>0.248</v>
      </c>
      <c r="Z727" s="254">
        <v>0.23499999999999999</v>
      </c>
    </row>
    <row r="728" spans="13:26" x14ac:dyDescent="0.35">
      <c r="M728" s="250">
        <v>9261</v>
      </c>
      <c r="N728" s="251" t="str">
        <f t="shared" si="110"/>
        <v/>
      </c>
      <c r="O728" s="251" t="str">
        <f t="shared" si="111"/>
        <v/>
      </c>
      <c r="P728" s="251" t="str">
        <f t="shared" si="112"/>
        <v/>
      </c>
      <c r="Q728" s="251" t="str">
        <f t="shared" si="113"/>
        <v/>
      </c>
      <c r="R728" s="251" t="str">
        <f t="shared" si="114"/>
        <v/>
      </c>
      <c r="S728" s="252" t="str">
        <f t="shared" si="115"/>
        <v/>
      </c>
      <c r="T728" s="253"/>
      <c r="U728" s="254">
        <v>0.27300000000000002</v>
      </c>
      <c r="V728" s="254">
        <v>0.27200000000000002</v>
      </c>
      <c r="W728" s="254">
        <v>0.27100000000000002</v>
      </c>
      <c r="X728" s="254">
        <v>0.26</v>
      </c>
      <c r="Y728" s="254">
        <v>0.25800000000000001</v>
      </c>
      <c r="Z728" s="254">
        <v>0.247</v>
      </c>
    </row>
    <row r="729" spans="13:26" x14ac:dyDescent="0.35">
      <c r="M729" s="250">
        <v>10325</v>
      </c>
      <c r="N729" s="251" t="str">
        <f t="shared" si="110"/>
        <v/>
      </c>
      <c r="O729" s="251" t="str">
        <f t="shared" si="111"/>
        <v/>
      </c>
      <c r="P729" s="251" t="str">
        <f t="shared" si="112"/>
        <v/>
      </c>
      <c r="Q729" s="251" t="str">
        <f t="shared" si="113"/>
        <v/>
      </c>
      <c r="R729" s="251" t="str">
        <f t="shared" si="114"/>
        <v/>
      </c>
      <c r="S729" s="252" t="str">
        <f t="shared" si="115"/>
        <v/>
      </c>
      <c r="T729" s="253"/>
      <c r="U729" s="254">
        <v>0.28799999999999998</v>
      </c>
      <c r="V729" s="254">
        <v>0.28699999999999998</v>
      </c>
      <c r="W729" s="254">
        <v>0.28599999999999998</v>
      </c>
      <c r="X729" s="254">
        <v>0.27400000000000002</v>
      </c>
      <c r="Y729" s="254">
        <v>0.27200000000000002</v>
      </c>
      <c r="Z729" s="254">
        <v>0.26100000000000001</v>
      </c>
    </row>
    <row r="730" spans="13:26" x14ac:dyDescent="0.35">
      <c r="M730" s="250">
        <v>11389</v>
      </c>
      <c r="N730" s="251" t="str">
        <f t="shared" si="110"/>
        <v/>
      </c>
      <c r="O730" s="251" t="str">
        <f t="shared" si="111"/>
        <v/>
      </c>
      <c r="P730" s="251" t="str">
        <f t="shared" si="112"/>
        <v/>
      </c>
      <c r="Q730" s="251" t="str">
        <f t="shared" si="113"/>
        <v/>
      </c>
      <c r="R730" s="251" t="str">
        <f t="shared" si="114"/>
        <v/>
      </c>
      <c r="S730" s="252" t="str">
        <f t="shared" si="115"/>
        <v/>
      </c>
      <c r="T730" s="253"/>
      <c r="U730" s="254">
        <v>0.29699999999999999</v>
      </c>
      <c r="V730" s="254">
        <v>0.29599999999999999</v>
      </c>
      <c r="W730" s="254">
        <v>0.29499999999999998</v>
      </c>
      <c r="X730" s="254">
        <v>0.28399999999999997</v>
      </c>
      <c r="Y730" s="254">
        <v>0.28199999999999997</v>
      </c>
      <c r="Z730" s="254">
        <v>0.27</v>
      </c>
    </row>
    <row r="731" spans="13:26" x14ac:dyDescent="0.35">
      <c r="M731" s="250">
        <v>13126</v>
      </c>
      <c r="N731" s="251" t="str">
        <f t="shared" si="110"/>
        <v/>
      </c>
      <c r="O731" s="251" t="str">
        <f t="shared" si="111"/>
        <v/>
      </c>
      <c r="P731" s="251" t="str">
        <f t="shared" si="112"/>
        <v/>
      </c>
      <c r="Q731" s="251" t="str">
        <f t="shared" si="113"/>
        <v/>
      </c>
      <c r="R731" s="251" t="str">
        <f t="shared" si="114"/>
        <v/>
      </c>
      <c r="S731" s="252" t="str">
        <f t="shared" si="115"/>
        <v/>
      </c>
      <c r="T731" s="253"/>
      <c r="U731" s="254">
        <v>0.312</v>
      </c>
      <c r="V731" s="254">
        <v>0.311</v>
      </c>
      <c r="W731" s="254">
        <v>0.31</v>
      </c>
      <c r="X731" s="254">
        <v>0.29799999999999999</v>
      </c>
      <c r="Y731" s="254">
        <v>0.29599999999999999</v>
      </c>
      <c r="Z731" s="254">
        <v>0.28499999999999998</v>
      </c>
    </row>
    <row r="732" spans="13:26" x14ac:dyDescent="0.35">
      <c r="M732" s="250">
        <v>13126</v>
      </c>
      <c r="N732" s="251" t="str">
        <f>IF($R$11&gt;=M731+0.01,U732,"")</f>
        <v/>
      </c>
      <c r="O732" s="251" t="str">
        <f>IF($R$11&gt;=M731,V732,"")</f>
        <v/>
      </c>
      <c r="P732" s="251" t="str">
        <f>IF($R$11&gt;=M731,W732,"")</f>
        <v/>
      </c>
      <c r="Q732" s="251" t="str">
        <f>IF($R$11&gt;=M731,X732,"")</f>
        <v/>
      </c>
      <c r="R732" s="252" t="str">
        <f>IF($R$11&gt;=M731,Y732,"")</f>
        <v/>
      </c>
      <c r="S732" s="251" t="str">
        <f>IF($R$11&gt;=M731,Z732,"")</f>
        <v/>
      </c>
      <c r="T732" s="253"/>
      <c r="U732" s="254">
        <v>0.32100000000000001</v>
      </c>
      <c r="V732" s="254">
        <v>0.32</v>
      </c>
      <c r="W732" s="254">
        <v>0.31900000000000001</v>
      </c>
      <c r="X732" s="254">
        <v>0.308</v>
      </c>
      <c r="Y732" s="254">
        <v>0.30599999999999999</v>
      </c>
      <c r="Z732" s="254">
        <v>0.29399999999999998</v>
      </c>
    </row>
    <row r="733" spans="13:26" x14ac:dyDescent="0.35">
      <c r="M733" s="249"/>
      <c r="N733" s="257" t="str">
        <f>IF($A$15=3,IF($A$2=5,IF($I$2=0,SUM(N704:N732),""),""),"")</f>
        <v/>
      </c>
      <c r="O733" s="258" t="str">
        <f>IF($A$15=3,IF($A$2=5,IF($I$2=1,SUM(O704:O732),""),""),"")</f>
        <v/>
      </c>
      <c r="P733" s="258" t="str">
        <f>IF($A$15=3,IF($A$2=5,IF($I$2=2,SUM(P704:P732),""),""),"")</f>
        <v/>
      </c>
      <c r="Q733" s="258" t="str">
        <f>IF($A$15=3,IF($A$2=5,IF($I$2=3,SUM(Q704:Q732),""),""),"")</f>
        <v/>
      </c>
      <c r="R733" s="258" t="str">
        <f>IF($A$15=3,IF($A$2=5,IF($I$2=4,SUM(R704:R732),""),""),"")</f>
        <v/>
      </c>
      <c r="S733" s="259" t="str">
        <f>IF($A$15=3,IF($A$2=5,IF($I$2=5,SUM(S704:S732),""),""),"")</f>
        <v/>
      </c>
      <c r="T733" s="260">
        <f>SUM(N733:S733)</f>
        <v>0</v>
      </c>
      <c r="U733" s="253"/>
      <c r="V733" s="253"/>
      <c r="W733" s="253"/>
      <c r="X733" s="253"/>
      <c r="Y733" s="253"/>
      <c r="Z733" s="253"/>
    </row>
    <row r="734" spans="13:26" x14ac:dyDescent="0.35">
      <c r="M734" s="249"/>
      <c r="N734" s="249"/>
      <c r="O734" s="249"/>
      <c r="P734" s="261"/>
      <c r="Q734" s="261"/>
      <c r="R734" s="261"/>
      <c r="S734" s="249"/>
      <c r="T734" s="253"/>
      <c r="U734" s="253"/>
      <c r="V734" s="253"/>
      <c r="W734" s="253"/>
      <c r="X734" s="253"/>
      <c r="Y734" s="253"/>
      <c r="Z734" s="253"/>
    </row>
    <row r="735" spans="13:26" x14ac:dyDescent="0.35">
      <c r="M735" s="262"/>
      <c r="N735" s="249"/>
      <c r="O735" s="249"/>
      <c r="P735" s="249"/>
      <c r="Q735" s="249"/>
      <c r="R735" s="249"/>
      <c r="S735" s="249"/>
      <c r="T735" s="253"/>
      <c r="U735" s="253"/>
      <c r="V735" s="253"/>
      <c r="W735" s="253"/>
      <c r="X735" s="253"/>
      <c r="Y735" s="253"/>
      <c r="Z735" s="253"/>
    </row>
    <row r="736" spans="13:26" x14ac:dyDescent="0.35">
      <c r="M736" s="249"/>
      <c r="N736" s="249"/>
      <c r="O736" s="249"/>
      <c r="P736" s="249"/>
      <c r="Q736" s="249"/>
      <c r="R736" s="249"/>
      <c r="S736" s="249"/>
      <c r="T736" s="253"/>
      <c r="U736" s="253"/>
      <c r="V736" s="253"/>
      <c r="W736" s="253"/>
      <c r="X736" s="253"/>
      <c r="Y736" s="253"/>
      <c r="Z736" s="253"/>
    </row>
    <row r="737" spans="13:26" x14ac:dyDescent="0.35">
      <c r="M737" s="263" t="s">
        <v>214</v>
      </c>
      <c r="N737" s="284"/>
      <c r="O737" s="284" t="s">
        <v>185</v>
      </c>
      <c r="P737" s="284"/>
      <c r="Q737" s="284"/>
      <c r="R737" s="284"/>
      <c r="S737" s="285"/>
      <c r="T737" s="253"/>
      <c r="U737" s="286" t="str">
        <f>O737</f>
        <v>Tabelas de IRS de retenção na fonte referente a 2018 na Madeira</v>
      </c>
      <c r="V737" s="253"/>
      <c r="W737" s="253"/>
      <c r="X737" s="253"/>
      <c r="Y737" s="253"/>
      <c r="Z737" s="253"/>
    </row>
    <row r="738" spans="13:26" x14ac:dyDescent="0.35">
      <c r="M738" s="285"/>
      <c r="N738" s="284"/>
      <c r="O738" s="284" t="s">
        <v>197</v>
      </c>
      <c r="P738" s="285"/>
      <c r="Q738" s="284"/>
      <c r="R738" s="284"/>
      <c r="S738" s="285"/>
      <c r="T738" s="253"/>
      <c r="U738" s="286" t="str">
        <f>O738</f>
        <v>T A B E L A VI - TRABALHO DEPENDENTE</v>
      </c>
      <c r="V738" s="253"/>
      <c r="W738" s="253"/>
      <c r="X738" s="253"/>
      <c r="Y738" s="253"/>
      <c r="Z738" s="253"/>
    </row>
    <row r="739" spans="13:26" x14ac:dyDescent="0.35">
      <c r="M739" s="284"/>
      <c r="N739" s="284"/>
      <c r="O739" s="284" t="s">
        <v>192</v>
      </c>
      <c r="P739" s="285"/>
      <c r="Q739" s="284"/>
      <c r="R739" s="284"/>
      <c r="S739" s="285"/>
      <c r="T739" s="253"/>
      <c r="U739" s="286" t="str">
        <f>O739</f>
        <v>CASADO DOIS TITULARES - DEFICIENTE</v>
      </c>
      <c r="V739" s="253"/>
      <c r="W739" s="253"/>
      <c r="X739" s="253"/>
      <c r="Y739" s="253"/>
      <c r="Z739" s="253"/>
    </row>
    <row r="740" spans="13:26" x14ac:dyDescent="0.35">
      <c r="M740" s="267" t="s">
        <v>154</v>
      </c>
      <c r="N740" s="268" t="s">
        <v>155</v>
      </c>
      <c r="O740" s="268" t="s">
        <v>156</v>
      </c>
      <c r="P740" s="268" t="s">
        <v>157</v>
      </c>
      <c r="Q740" s="268" t="s">
        <v>158</v>
      </c>
      <c r="R740" s="268" t="s">
        <v>159</v>
      </c>
      <c r="S740" s="268" t="s">
        <v>160</v>
      </c>
      <c r="T740" s="253"/>
      <c r="U740" s="292" t="s">
        <v>155</v>
      </c>
      <c r="V740" s="292" t="s">
        <v>156</v>
      </c>
      <c r="W740" s="292" t="s">
        <v>157</v>
      </c>
      <c r="X740" s="292" t="s">
        <v>158</v>
      </c>
      <c r="Y740" s="292" t="s">
        <v>159</v>
      </c>
      <c r="Z740" s="292" t="s">
        <v>160</v>
      </c>
    </row>
    <row r="741" spans="13:26" x14ac:dyDescent="0.35">
      <c r="M741" s="250">
        <v>1322</v>
      </c>
      <c r="N741" s="251" t="str">
        <f>IF($R$11&lt;=M741,IF($R$11&gt;=0,0,""),"")</f>
        <v/>
      </c>
      <c r="O741" s="251" t="str">
        <f>IF($R$11&lt;=M741,IF($R$11&gt;=0,0,""),"")</f>
        <v/>
      </c>
      <c r="P741" s="251" t="str">
        <f>IF($R$11&lt;=M741,IF($R$11&gt;=0,0,""),"")</f>
        <v/>
      </c>
      <c r="Q741" s="251" t="str">
        <f>IF($R$11&lt;=M741,IF($R$11&gt;=0,0,""),"")</f>
        <v/>
      </c>
      <c r="R741" s="251" t="str">
        <f>IF($R$11&lt;=M741,IF($R$11&gt;=0,0,""),"")</f>
        <v/>
      </c>
      <c r="S741" s="251" t="str">
        <f>IF($R$11&lt;=M741,IF($R$11&gt;=0,0,""),"")</f>
        <v/>
      </c>
      <c r="T741" s="253"/>
      <c r="U741" s="254">
        <v>0</v>
      </c>
      <c r="V741" s="254">
        <v>0</v>
      </c>
      <c r="W741" s="254">
        <v>0</v>
      </c>
      <c r="X741" s="254">
        <v>0</v>
      </c>
      <c r="Y741" s="254">
        <v>0</v>
      </c>
      <c r="Z741" s="254">
        <v>0</v>
      </c>
    </row>
    <row r="742" spans="13:26" x14ac:dyDescent="0.35">
      <c r="M742" s="250">
        <v>1427</v>
      </c>
      <c r="N742" s="251" t="str">
        <f t="shared" ref="N742:N769" si="116">IF($R$11&lt;=M742,IF($R$11&gt;=M741+0.01,U742,""),"")</f>
        <v/>
      </c>
      <c r="O742" s="251" t="str">
        <f t="shared" ref="O742:O769" si="117">IF($R$11&lt;=M742,IF($R$11&gt;=M741+0.01,V742,""),"")</f>
        <v/>
      </c>
      <c r="P742" s="251" t="str">
        <f t="shared" ref="P742:P769" si="118">IF($R$11&lt;=M742,IF($R$11&gt;=M741+0.01,W742,""),"")</f>
        <v/>
      </c>
      <c r="Q742" s="251" t="str">
        <f t="shared" ref="Q742:Q769" si="119">IF($R$11&lt;=M742,IF($R$11&gt;=M741+0.01,X742,""),"")</f>
        <v/>
      </c>
      <c r="R742" s="251" t="str">
        <f t="shared" ref="R742:R769" si="120">IF($R$11&lt;=M742,IF($R$11&gt;=M741+0.01,Y742,""),"")</f>
        <v/>
      </c>
      <c r="S742" s="252" t="str">
        <f t="shared" ref="S742:S769" si="121">IF($R$11&lt;=M742,IF($R$11&gt;=M741+0.01,Z742,""),"")</f>
        <v/>
      </c>
      <c r="T742" s="253"/>
      <c r="U742" s="254">
        <v>8.9999999999999993E-3</v>
      </c>
      <c r="V742" s="254">
        <v>0</v>
      </c>
      <c r="W742" s="254">
        <v>0</v>
      </c>
      <c r="X742" s="254">
        <v>0</v>
      </c>
      <c r="Y742" s="254">
        <v>0</v>
      </c>
      <c r="Z742" s="254">
        <v>0</v>
      </c>
    </row>
    <row r="743" spans="13:26" x14ac:dyDescent="0.35">
      <c r="M743" s="250">
        <v>1469</v>
      </c>
      <c r="N743" s="251" t="str">
        <f>IF($R$11&lt;=M743,IF($R$11&gt;=M742+0.01,U743,""),"")</f>
        <v/>
      </c>
      <c r="O743" s="251" t="str">
        <f>IF($R$11&lt;=M743,IF($R$11&gt;=M742+0.01,V743,""),"")</f>
        <v/>
      </c>
      <c r="P743" s="251" t="str">
        <f>IF($R$11&lt;=M743,IF($R$11&gt;=M742+0.01,W743,""),"")</f>
        <v/>
      </c>
      <c r="Q743" s="251" t="str">
        <f>IF($R$11&lt;=M743,IF($R$11&gt;=M742+0.01,X743,""),"")</f>
        <v/>
      </c>
      <c r="R743" s="251" t="str">
        <f>IF($R$11&lt;=M743,IF($R$11&gt;=M742+0.01,Y743,""),"")</f>
        <v/>
      </c>
      <c r="S743" s="252" t="str">
        <f>IF($R$11&lt;=M743,IF($R$11&gt;=M742+0.01,Z743,""),"")</f>
        <v/>
      </c>
      <c r="T743" s="253"/>
      <c r="U743" s="254">
        <v>2.7E-2</v>
      </c>
      <c r="V743" s="254">
        <v>2.1000000000000001E-2</v>
      </c>
      <c r="W743" s="254">
        <v>0</v>
      </c>
      <c r="X743" s="254">
        <v>0</v>
      </c>
      <c r="Y743" s="254">
        <v>0</v>
      </c>
      <c r="Z743" s="254">
        <v>0</v>
      </c>
    </row>
    <row r="744" spans="13:26" x14ac:dyDescent="0.35">
      <c r="M744" s="250">
        <v>1654</v>
      </c>
      <c r="N744" s="251">
        <f>IF($R$11&lt;=M744,IF($R$11&gt;=M743+0.01,U744,""),"")</f>
        <v>3.5000000000000003E-2</v>
      </c>
      <c r="O744" s="251">
        <f>IF($R$11&lt;=M744,IF($R$11&gt;=M743+0.01,V744,""),"")</f>
        <v>2.9000000000000001E-2</v>
      </c>
      <c r="P744" s="251">
        <f>IF($R$11&lt;=M744,IF($R$11&gt;=M743+0.01,W744,""),"")</f>
        <v>1.4E-2</v>
      </c>
      <c r="Q744" s="251">
        <f>IF($R$11&lt;=M744,IF($R$11&gt;=M743+0.01,X744,""),"")</f>
        <v>0</v>
      </c>
      <c r="R744" s="251">
        <f>IF($R$11&lt;=M744,IF($R$11&gt;=M743+0.01,Y744,""),"")</f>
        <v>0</v>
      </c>
      <c r="S744" s="252">
        <f>IF($R$11&lt;=M744,IF($R$11&gt;=M743+0.01,Z744,""),"")</f>
        <v>0</v>
      </c>
      <c r="T744" s="253"/>
      <c r="U744" s="254">
        <v>3.5000000000000003E-2</v>
      </c>
      <c r="V744" s="254">
        <v>2.9000000000000001E-2</v>
      </c>
      <c r="W744" s="254">
        <v>1.4E-2</v>
      </c>
      <c r="X744" s="254">
        <v>0</v>
      </c>
      <c r="Y744" s="254">
        <v>0</v>
      </c>
      <c r="Z744" s="254">
        <v>0</v>
      </c>
    </row>
    <row r="745" spans="13:26" x14ac:dyDescent="0.35">
      <c r="M745" s="250">
        <v>1974</v>
      </c>
      <c r="N745" s="251" t="str">
        <f>IF($R$11&lt;=M745,IF($R$11&gt;=M744+0.01,U745,""),"")</f>
        <v/>
      </c>
      <c r="O745" s="251" t="str">
        <f>IF($R$11&lt;=M745,IF($R$11&gt;=M744+0.01,V745,""),"")</f>
        <v/>
      </c>
      <c r="P745" s="251" t="str">
        <f>IF($R$11&lt;=M745,IF($R$11&gt;=M744+0.01,W745,""),"")</f>
        <v/>
      </c>
      <c r="Q745" s="251" t="str">
        <f>IF($R$11&lt;=M745,IF($R$11&gt;=M744+0.01,X745,""),"")</f>
        <v/>
      </c>
      <c r="R745" s="251" t="str">
        <f>IF($R$11&lt;=M745,IF($R$11&gt;=M744+0.01,Y745,""),"")</f>
        <v/>
      </c>
      <c r="S745" s="252" t="str">
        <f>IF($R$11&lt;=M745,IF($R$11&gt;=M744+0.01,Z745,""),"")</f>
        <v/>
      </c>
      <c r="T745" s="253"/>
      <c r="U745" s="254">
        <v>5.1999999999999998E-2</v>
      </c>
      <c r="V745" s="254">
        <v>4.4999999999999998E-2</v>
      </c>
      <c r="W745" s="254">
        <v>3.2000000000000001E-2</v>
      </c>
      <c r="X745" s="254">
        <v>1.7999999999999999E-2</v>
      </c>
      <c r="Y745" s="254">
        <v>1.2E-2</v>
      </c>
      <c r="Z745" s="254">
        <v>0</v>
      </c>
    </row>
    <row r="746" spans="13:26" x14ac:dyDescent="0.35">
      <c r="M746" s="250">
        <v>2098</v>
      </c>
      <c r="N746" s="251" t="str">
        <f>IF($R$11&lt;=M746,IF($R$11&gt;=M745+0.01,U746,""),"")</f>
        <v/>
      </c>
      <c r="O746" s="251" t="str">
        <f>IF($R$11&lt;=M746,IF($R$11&gt;=M745+0.01,V746,""),"")</f>
        <v/>
      </c>
      <c r="P746" s="251" t="str">
        <f>IF($R$11&lt;=M746,IF($R$11&gt;=M745+0.01,W746,""),"")</f>
        <v/>
      </c>
      <c r="Q746" s="251" t="str">
        <f>IF($R$11&lt;=M746,IF($R$11&gt;=M745+0.01,X746,""),"")</f>
        <v/>
      </c>
      <c r="R746" s="251" t="str">
        <f>IF($R$11&lt;=M746,IF($R$11&gt;=M745+0.01,Y746,""),"")</f>
        <v/>
      </c>
      <c r="S746" s="252" t="str">
        <f>IF($R$11&lt;=M746,IF($R$11&gt;=M745+0.01,Z746,""),"")</f>
        <v/>
      </c>
      <c r="T746" s="253"/>
      <c r="U746" s="254">
        <v>6.3E-2</v>
      </c>
      <c r="V746" s="254">
        <v>5.8000000000000003E-2</v>
      </c>
      <c r="W746" s="254">
        <v>4.2999999999999997E-2</v>
      </c>
      <c r="X746" s="254">
        <v>0.03</v>
      </c>
      <c r="Y746" s="254">
        <v>2.4E-2</v>
      </c>
      <c r="Z746" s="254">
        <v>1.7000000000000001E-2</v>
      </c>
    </row>
    <row r="747" spans="13:26" x14ac:dyDescent="0.35">
      <c r="M747" s="250">
        <v>2233</v>
      </c>
      <c r="N747" s="251" t="str">
        <f t="shared" si="116"/>
        <v/>
      </c>
      <c r="O747" s="251" t="str">
        <f t="shared" si="117"/>
        <v/>
      </c>
      <c r="P747" s="251" t="str">
        <f t="shared" si="118"/>
        <v/>
      </c>
      <c r="Q747" s="251" t="str">
        <f t="shared" si="119"/>
        <v/>
      </c>
      <c r="R747" s="251" t="str">
        <f t="shared" si="120"/>
        <v/>
      </c>
      <c r="S747" s="252" t="str">
        <f t="shared" si="121"/>
        <v/>
      </c>
      <c r="T747" s="253"/>
      <c r="U747" s="254">
        <v>7.8E-2</v>
      </c>
      <c r="V747" s="254">
        <v>6.5000000000000002E-2</v>
      </c>
      <c r="W747" s="254">
        <v>5.8999999999999997E-2</v>
      </c>
      <c r="X747" s="254">
        <v>4.4999999999999998E-2</v>
      </c>
      <c r="Y747" s="254">
        <v>3.1E-2</v>
      </c>
      <c r="Z747" s="254">
        <v>2.5000000000000001E-2</v>
      </c>
    </row>
    <row r="748" spans="13:26" x14ac:dyDescent="0.35">
      <c r="M748" s="250">
        <v>2335</v>
      </c>
      <c r="N748" s="251" t="str">
        <f t="shared" si="116"/>
        <v/>
      </c>
      <c r="O748" s="251" t="str">
        <f t="shared" si="117"/>
        <v/>
      </c>
      <c r="P748" s="251" t="str">
        <f t="shared" si="118"/>
        <v/>
      </c>
      <c r="Q748" s="251" t="str">
        <f t="shared" si="119"/>
        <v/>
      </c>
      <c r="R748" s="251" t="str">
        <f t="shared" si="120"/>
        <v/>
      </c>
      <c r="S748" s="252" t="str">
        <f t="shared" si="121"/>
        <v/>
      </c>
      <c r="T748" s="253"/>
      <c r="U748" s="254">
        <v>0.10299999999999999</v>
      </c>
      <c r="V748" s="254">
        <v>8.8999999999999996E-2</v>
      </c>
      <c r="W748" s="254">
        <v>7.4999999999999997E-2</v>
      </c>
      <c r="X748" s="254">
        <v>6.0999999999999999E-2</v>
      </c>
      <c r="Y748" s="254">
        <v>5.2999999999999999E-2</v>
      </c>
      <c r="Z748" s="254">
        <v>4.7E-2</v>
      </c>
    </row>
    <row r="749" spans="13:26" x14ac:dyDescent="0.35">
      <c r="M749" s="250">
        <v>2502</v>
      </c>
      <c r="N749" s="251" t="str">
        <f t="shared" si="116"/>
        <v/>
      </c>
      <c r="O749" s="251" t="str">
        <f t="shared" si="117"/>
        <v/>
      </c>
      <c r="P749" s="251" t="str">
        <f t="shared" si="118"/>
        <v/>
      </c>
      <c r="Q749" s="251" t="str">
        <f t="shared" si="119"/>
        <v/>
      </c>
      <c r="R749" s="251" t="str">
        <f t="shared" si="120"/>
        <v/>
      </c>
      <c r="S749" s="252" t="str">
        <f t="shared" si="121"/>
        <v/>
      </c>
      <c r="T749" s="253"/>
      <c r="U749" s="254">
        <v>0.12</v>
      </c>
      <c r="V749" s="254">
        <v>0.105</v>
      </c>
      <c r="W749" s="254">
        <v>9.0999999999999998E-2</v>
      </c>
      <c r="X749" s="254">
        <v>7.6999999999999999E-2</v>
      </c>
      <c r="Y749" s="254">
        <v>6.2E-2</v>
      </c>
      <c r="Z749" s="254">
        <v>5.5E-2</v>
      </c>
    </row>
    <row r="750" spans="13:26" x14ac:dyDescent="0.35">
      <c r="M750" s="250">
        <v>2585</v>
      </c>
      <c r="N750" s="251" t="str">
        <f t="shared" si="116"/>
        <v/>
      </c>
      <c r="O750" s="251" t="str">
        <f t="shared" si="117"/>
        <v/>
      </c>
      <c r="P750" s="251" t="str">
        <f t="shared" si="118"/>
        <v/>
      </c>
      <c r="Q750" s="251" t="str">
        <f t="shared" si="119"/>
        <v/>
      </c>
      <c r="R750" s="251" t="str">
        <f t="shared" si="120"/>
        <v/>
      </c>
      <c r="S750" s="252" t="str">
        <f t="shared" si="121"/>
        <v/>
      </c>
      <c r="T750" s="253"/>
      <c r="U750" s="254">
        <v>0.127</v>
      </c>
      <c r="V750" s="254">
        <v>0.114</v>
      </c>
      <c r="W750" s="254">
        <v>0.107</v>
      </c>
      <c r="X750" s="254">
        <v>9.2999999999999999E-2</v>
      </c>
      <c r="Y750" s="254">
        <v>7.9000000000000001E-2</v>
      </c>
      <c r="Z750" s="254">
        <v>7.1999999999999995E-2</v>
      </c>
    </row>
    <row r="751" spans="13:26" x14ac:dyDescent="0.35">
      <c r="M751" s="250">
        <v>2687</v>
      </c>
      <c r="N751" s="251" t="str">
        <f t="shared" si="116"/>
        <v/>
      </c>
      <c r="O751" s="251" t="str">
        <f t="shared" si="117"/>
        <v/>
      </c>
      <c r="P751" s="251" t="str">
        <f t="shared" si="118"/>
        <v/>
      </c>
      <c r="Q751" s="251" t="str">
        <f t="shared" si="119"/>
        <v/>
      </c>
      <c r="R751" s="251" t="str">
        <f t="shared" si="120"/>
        <v/>
      </c>
      <c r="S751" s="252" t="str">
        <f t="shared" si="121"/>
        <v/>
      </c>
      <c r="T751" s="253"/>
      <c r="U751" s="254">
        <v>0.13600000000000001</v>
      </c>
      <c r="V751" s="254">
        <v>0.122</v>
      </c>
      <c r="W751" s="254">
        <v>0.115</v>
      </c>
      <c r="X751" s="254">
        <v>0.10100000000000001</v>
      </c>
      <c r="Y751" s="254">
        <v>8.6999999999999994E-2</v>
      </c>
      <c r="Z751" s="254">
        <v>0.08</v>
      </c>
    </row>
    <row r="752" spans="13:26" x14ac:dyDescent="0.35">
      <c r="M752" s="250">
        <v>2956</v>
      </c>
      <c r="N752" s="251" t="str">
        <f t="shared" si="116"/>
        <v/>
      </c>
      <c r="O752" s="251" t="str">
        <f t="shared" si="117"/>
        <v/>
      </c>
      <c r="P752" s="251" t="str">
        <f t="shared" si="118"/>
        <v/>
      </c>
      <c r="Q752" s="251" t="str">
        <f t="shared" si="119"/>
        <v/>
      </c>
      <c r="R752" s="251" t="str">
        <f t="shared" si="120"/>
        <v/>
      </c>
      <c r="S752" s="252" t="str">
        <f t="shared" si="121"/>
        <v/>
      </c>
      <c r="T752" s="253"/>
      <c r="U752" s="254">
        <v>0.14399999999999999</v>
      </c>
      <c r="V752" s="254">
        <v>0.13</v>
      </c>
      <c r="W752" s="254">
        <v>0.124</v>
      </c>
      <c r="X752" s="254">
        <v>0.109</v>
      </c>
      <c r="Y752" s="254">
        <v>9.5000000000000001E-2</v>
      </c>
      <c r="Z752" s="254">
        <v>8.8999999999999996E-2</v>
      </c>
    </row>
    <row r="753" spans="13:26" x14ac:dyDescent="0.35">
      <c r="M753" s="250">
        <v>3277</v>
      </c>
      <c r="N753" s="251" t="str">
        <f t="shared" si="116"/>
        <v/>
      </c>
      <c r="O753" s="251" t="str">
        <f t="shared" si="117"/>
        <v/>
      </c>
      <c r="P753" s="251" t="str">
        <f t="shared" si="118"/>
        <v/>
      </c>
      <c r="Q753" s="251" t="str">
        <f t="shared" si="119"/>
        <v/>
      </c>
      <c r="R753" s="251" t="str">
        <f t="shared" si="120"/>
        <v/>
      </c>
      <c r="S753" s="252" t="str">
        <f t="shared" si="121"/>
        <v/>
      </c>
      <c r="T753" s="253"/>
      <c r="U753" s="254">
        <v>0.16900000000000001</v>
      </c>
      <c r="V753" s="254">
        <v>0.158</v>
      </c>
      <c r="W753" s="254">
        <v>0.154</v>
      </c>
      <c r="X753" s="254">
        <v>0.14099999999999999</v>
      </c>
      <c r="Y753" s="254">
        <v>0.129</v>
      </c>
      <c r="Z753" s="254">
        <v>0.126</v>
      </c>
    </row>
    <row r="754" spans="13:26" x14ac:dyDescent="0.35">
      <c r="M754" s="250">
        <v>3618</v>
      </c>
      <c r="N754" s="251" t="str">
        <f t="shared" si="116"/>
        <v/>
      </c>
      <c r="O754" s="251" t="str">
        <f t="shared" si="117"/>
        <v/>
      </c>
      <c r="P754" s="251" t="str">
        <f t="shared" si="118"/>
        <v/>
      </c>
      <c r="Q754" s="251" t="str">
        <f t="shared" si="119"/>
        <v/>
      </c>
      <c r="R754" s="251" t="str">
        <f t="shared" si="120"/>
        <v/>
      </c>
      <c r="S754" s="252" t="str">
        <f t="shared" si="121"/>
        <v/>
      </c>
      <c r="T754" s="253"/>
      <c r="U754" s="254">
        <v>0.18</v>
      </c>
      <c r="V754" s="254">
        <v>0.16800000000000001</v>
      </c>
      <c r="W754" s="254">
        <v>0.16400000000000001</v>
      </c>
      <c r="X754" s="254">
        <v>0.152</v>
      </c>
      <c r="Y754" s="254">
        <v>0.13900000000000001</v>
      </c>
      <c r="Z754" s="254">
        <v>0.13600000000000001</v>
      </c>
    </row>
    <row r="755" spans="13:26" x14ac:dyDescent="0.35">
      <c r="M755" s="250">
        <v>3752</v>
      </c>
      <c r="N755" s="251" t="str">
        <f t="shared" si="116"/>
        <v/>
      </c>
      <c r="O755" s="251" t="str">
        <f t="shared" si="117"/>
        <v/>
      </c>
      <c r="P755" s="251" t="str">
        <f t="shared" si="118"/>
        <v/>
      </c>
      <c r="Q755" s="251" t="str">
        <f t="shared" si="119"/>
        <v/>
      </c>
      <c r="R755" s="251" t="str">
        <f t="shared" si="120"/>
        <v/>
      </c>
      <c r="S755" s="252" t="str">
        <f t="shared" si="121"/>
        <v/>
      </c>
      <c r="T755" s="253"/>
      <c r="U755" s="254">
        <v>0.189</v>
      </c>
      <c r="V755" s="254">
        <v>0.17899999999999999</v>
      </c>
      <c r="W755" s="254">
        <v>0.17399999999999999</v>
      </c>
      <c r="X755" s="254">
        <v>0.161</v>
      </c>
      <c r="Y755" s="254">
        <v>0.158</v>
      </c>
      <c r="Z755" s="254">
        <v>0.14499999999999999</v>
      </c>
    </row>
    <row r="756" spans="13:26" x14ac:dyDescent="0.35">
      <c r="M756" s="250">
        <v>3969</v>
      </c>
      <c r="N756" s="251" t="str">
        <f t="shared" si="116"/>
        <v/>
      </c>
      <c r="O756" s="251" t="str">
        <f t="shared" si="117"/>
        <v/>
      </c>
      <c r="P756" s="251" t="str">
        <f t="shared" si="118"/>
        <v/>
      </c>
      <c r="Q756" s="251" t="str">
        <f t="shared" si="119"/>
        <v/>
      </c>
      <c r="R756" s="251" t="str">
        <f t="shared" si="120"/>
        <v/>
      </c>
      <c r="S756" s="252" t="str">
        <f t="shared" si="121"/>
        <v/>
      </c>
      <c r="T756" s="253"/>
      <c r="U756" s="254">
        <v>0.19800000000000001</v>
      </c>
      <c r="V756" s="254">
        <v>0.188</v>
      </c>
      <c r="W756" s="254">
        <v>0.185</v>
      </c>
      <c r="X756" s="254">
        <v>0.17</v>
      </c>
      <c r="Y756" s="254">
        <v>0.16600000000000001</v>
      </c>
      <c r="Z756" s="254">
        <v>0.154</v>
      </c>
    </row>
    <row r="757" spans="13:26" x14ac:dyDescent="0.35">
      <c r="M757" s="250">
        <v>4393</v>
      </c>
      <c r="N757" s="251" t="str">
        <f t="shared" si="116"/>
        <v/>
      </c>
      <c r="O757" s="251" t="str">
        <f t="shared" si="117"/>
        <v/>
      </c>
      <c r="P757" s="251" t="str">
        <f t="shared" si="118"/>
        <v/>
      </c>
      <c r="Q757" s="251" t="str">
        <f t="shared" si="119"/>
        <v/>
      </c>
      <c r="R757" s="251" t="str">
        <f t="shared" si="120"/>
        <v/>
      </c>
      <c r="S757" s="252" t="str">
        <f t="shared" si="121"/>
        <v/>
      </c>
      <c r="T757" s="253"/>
      <c r="U757" s="254">
        <v>0.21099999999999999</v>
      </c>
      <c r="V757" s="254">
        <v>0.20200000000000001</v>
      </c>
      <c r="W757" s="254">
        <v>0.19800000000000001</v>
      </c>
      <c r="X757" s="254">
        <v>0.186</v>
      </c>
      <c r="Y757" s="254">
        <v>0.18</v>
      </c>
      <c r="Z757" s="254">
        <v>0.16700000000000001</v>
      </c>
    </row>
    <row r="758" spans="13:26" x14ac:dyDescent="0.35">
      <c r="M758" s="250">
        <v>4662</v>
      </c>
      <c r="N758" s="251" t="str">
        <f t="shared" si="116"/>
        <v/>
      </c>
      <c r="O758" s="251" t="str">
        <f t="shared" si="117"/>
        <v/>
      </c>
      <c r="P758" s="251" t="str">
        <f t="shared" si="118"/>
        <v/>
      </c>
      <c r="Q758" s="251" t="str">
        <f t="shared" si="119"/>
        <v/>
      </c>
      <c r="R758" s="251" t="str">
        <f t="shared" si="120"/>
        <v/>
      </c>
      <c r="S758" s="252" t="str">
        <f t="shared" si="121"/>
        <v/>
      </c>
      <c r="T758" s="253"/>
      <c r="U758" s="254">
        <v>0.221</v>
      </c>
      <c r="V758" s="254">
        <v>0.21</v>
      </c>
      <c r="W758" s="254">
        <v>0.20699999999999999</v>
      </c>
      <c r="X758" s="254">
        <v>0.19500000000000001</v>
      </c>
      <c r="Y758" s="254">
        <v>0.191</v>
      </c>
      <c r="Z758" s="254">
        <v>0.186</v>
      </c>
    </row>
    <row r="759" spans="13:26" x14ac:dyDescent="0.35">
      <c r="M759" s="250">
        <v>4961</v>
      </c>
      <c r="N759" s="251" t="str">
        <f t="shared" si="116"/>
        <v/>
      </c>
      <c r="O759" s="251" t="str">
        <f t="shared" si="117"/>
        <v/>
      </c>
      <c r="P759" s="251" t="str">
        <f t="shared" si="118"/>
        <v/>
      </c>
      <c r="Q759" s="251" t="str">
        <f t="shared" si="119"/>
        <v/>
      </c>
      <c r="R759" s="251" t="str">
        <f t="shared" si="120"/>
        <v/>
      </c>
      <c r="S759" s="252" t="str">
        <f t="shared" si="121"/>
        <v/>
      </c>
      <c r="T759" s="253"/>
      <c r="U759" s="254">
        <v>0.23</v>
      </c>
      <c r="V759" s="254">
        <v>0.22</v>
      </c>
      <c r="W759" s="254">
        <v>0.216</v>
      </c>
      <c r="X759" s="254">
        <v>0.20399999999999999</v>
      </c>
      <c r="Y759" s="254">
        <v>0.2</v>
      </c>
      <c r="Z759" s="254">
        <v>0.19700000000000001</v>
      </c>
    </row>
    <row r="760" spans="13:26" x14ac:dyDescent="0.35">
      <c r="M760" s="250">
        <v>5251</v>
      </c>
      <c r="N760" s="251" t="str">
        <f t="shared" si="116"/>
        <v/>
      </c>
      <c r="O760" s="251" t="str">
        <f t="shared" si="117"/>
        <v/>
      </c>
      <c r="P760" s="251" t="str">
        <f t="shared" si="118"/>
        <v/>
      </c>
      <c r="Q760" s="251" t="str">
        <f t="shared" si="119"/>
        <v/>
      </c>
      <c r="R760" s="251" t="str">
        <f t="shared" si="120"/>
        <v/>
      </c>
      <c r="S760" s="252" t="str">
        <f t="shared" si="121"/>
        <v/>
      </c>
      <c r="T760" s="253"/>
      <c r="U760" s="254">
        <v>0.23899999999999999</v>
      </c>
      <c r="V760" s="254">
        <v>0.22900000000000001</v>
      </c>
      <c r="W760" s="254">
        <v>0.22500000000000001</v>
      </c>
      <c r="X760" s="254">
        <v>0.21199999999999999</v>
      </c>
      <c r="Y760" s="254">
        <v>0.20899999999999999</v>
      </c>
      <c r="Z760" s="254">
        <v>0.20499999999999999</v>
      </c>
    </row>
    <row r="761" spans="13:26" x14ac:dyDescent="0.35">
      <c r="M761" s="250">
        <v>5685</v>
      </c>
      <c r="N761" s="251" t="str">
        <f t="shared" si="116"/>
        <v/>
      </c>
      <c r="O761" s="251" t="str">
        <f t="shared" si="117"/>
        <v/>
      </c>
      <c r="P761" s="251" t="str">
        <f t="shared" si="118"/>
        <v/>
      </c>
      <c r="Q761" s="251" t="str">
        <f t="shared" si="119"/>
        <v/>
      </c>
      <c r="R761" s="251" t="str">
        <f t="shared" si="120"/>
        <v/>
      </c>
      <c r="S761" s="252" t="str">
        <f t="shared" si="121"/>
        <v/>
      </c>
      <c r="T761" s="253"/>
      <c r="U761" s="254">
        <v>0.248</v>
      </c>
      <c r="V761" s="254">
        <v>0.23799999999999999</v>
      </c>
      <c r="W761" s="254">
        <v>0.23400000000000001</v>
      </c>
      <c r="X761" s="254">
        <v>0.222</v>
      </c>
      <c r="Y761" s="254">
        <v>0.218</v>
      </c>
      <c r="Z761" s="254">
        <v>0.214</v>
      </c>
    </row>
    <row r="762" spans="13:26" x14ac:dyDescent="0.35">
      <c r="M762" s="250">
        <v>6119</v>
      </c>
      <c r="N762" s="251" t="str">
        <f t="shared" si="116"/>
        <v/>
      </c>
      <c r="O762" s="251" t="str">
        <f t="shared" si="117"/>
        <v/>
      </c>
      <c r="P762" s="251" t="str">
        <f t="shared" si="118"/>
        <v/>
      </c>
      <c r="Q762" s="251" t="str">
        <f t="shared" si="119"/>
        <v/>
      </c>
      <c r="R762" s="251" t="str">
        <f t="shared" si="120"/>
        <v/>
      </c>
      <c r="S762" s="252" t="str">
        <f t="shared" si="121"/>
        <v/>
      </c>
      <c r="T762" s="253"/>
      <c r="U762" s="254">
        <v>0.26100000000000001</v>
      </c>
      <c r="V762" s="254">
        <v>0.251</v>
      </c>
      <c r="W762" s="254">
        <v>0.248</v>
      </c>
      <c r="X762" s="254">
        <v>0.23499999999999999</v>
      </c>
      <c r="Y762" s="254">
        <v>0.23200000000000001</v>
      </c>
      <c r="Z762" s="254">
        <v>0.22800000000000001</v>
      </c>
    </row>
    <row r="763" spans="13:26" x14ac:dyDescent="0.35">
      <c r="M763" s="250">
        <v>6829</v>
      </c>
      <c r="N763" s="251" t="str">
        <f t="shared" si="116"/>
        <v/>
      </c>
      <c r="O763" s="251" t="str">
        <f t="shared" si="117"/>
        <v/>
      </c>
      <c r="P763" s="251" t="str">
        <f t="shared" si="118"/>
        <v/>
      </c>
      <c r="Q763" s="251" t="str">
        <f t="shared" si="119"/>
        <v/>
      </c>
      <c r="R763" s="251" t="str">
        <f t="shared" si="120"/>
        <v/>
      </c>
      <c r="S763" s="252" t="str">
        <f t="shared" si="121"/>
        <v/>
      </c>
      <c r="T763" s="253"/>
      <c r="U763" s="254">
        <v>0.29399999999999998</v>
      </c>
      <c r="V763" s="254">
        <v>0.28599999999999998</v>
      </c>
      <c r="W763" s="254">
        <v>0.28399999999999997</v>
      </c>
      <c r="X763" s="254">
        <v>0.27200000000000002</v>
      </c>
      <c r="Y763" s="254">
        <v>0.27</v>
      </c>
      <c r="Z763" s="254">
        <v>0.26800000000000002</v>
      </c>
    </row>
    <row r="764" spans="13:26" x14ac:dyDescent="0.35">
      <c r="M764" s="250">
        <v>7302</v>
      </c>
      <c r="N764" s="251" t="str">
        <f t="shared" si="116"/>
        <v/>
      </c>
      <c r="O764" s="251" t="str">
        <f t="shared" si="117"/>
        <v/>
      </c>
      <c r="P764" s="251" t="str">
        <f t="shared" si="118"/>
        <v/>
      </c>
      <c r="Q764" s="251" t="str">
        <f t="shared" si="119"/>
        <v/>
      </c>
      <c r="R764" s="251" t="str">
        <f t="shared" si="120"/>
        <v/>
      </c>
      <c r="S764" s="252" t="str">
        <f t="shared" si="121"/>
        <v/>
      </c>
      <c r="T764" s="253"/>
      <c r="U764" s="254">
        <v>0.30399999999999999</v>
      </c>
      <c r="V764" s="254">
        <v>0.29699999999999999</v>
      </c>
      <c r="W764" s="254">
        <v>0.29299999999999998</v>
      </c>
      <c r="X764" s="254">
        <v>0.28199999999999997</v>
      </c>
      <c r="Y764" s="254">
        <v>0.28000000000000003</v>
      </c>
      <c r="Z764" s="254">
        <v>0.27800000000000002</v>
      </c>
    </row>
    <row r="765" spans="13:26" x14ac:dyDescent="0.35">
      <c r="M765" s="250">
        <v>7888</v>
      </c>
      <c r="N765" s="251" t="str">
        <f t="shared" si="116"/>
        <v/>
      </c>
      <c r="O765" s="251" t="str">
        <f t="shared" si="117"/>
        <v/>
      </c>
      <c r="P765" s="251" t="str">
        <f t="shared" si="118"/>
        <v/>
      </c>
      <c r="Q765" s="251" t="str">
        <f t="shared" si="119"/>
        <v/>
      </c>
      <c r="R765" s="251" t="str">
        <f t="shared" si="120"/>
        <v/>
      </c>
      <c r="S765" s="252" t="str">
        <f t="shared" si="121"/>
        <v/>
      </c>
      <c r="T765" s="253"/>
      <c r="U765" s="254">
        <v>0.314</v>
      </c>
      <c r="V765" s="254">
        <v>0.307</v>
      </c>
      <c r="W765" s="254">
        <v>0.30499999999999999</v>
      </c>
      <c r="X765" s="254">
        <v>0.29099999999999998</v>
      </c>
      <c r="Y765" s="254">
        <v>0.28999999999999998</v>
      </c>
      <c r="Z765" s="254">
        <v>0.28799999999999998</v>
      </c>
    </row>
    <row r="766" spans="13:26" x14ac:dyDescent="0.35">
      <c r="M766" s="250">
        <v>8577</v>
      </c>
      <c r="N766" s="251" t="str">
        <f t="shared" si="116"/>
        <v/>
      </c>
      <c r="O766" s="251" t="str">
        <f t="shared" si="117"/>
        <v/>
      </c>
      <c r="P766" s="251" t="str">
        <f t="shared" si="118"/>
        <v/>
      </c>
      <c r="Q766" s="251" t="str">
        <f t="shared" si="119"/>
        <v/>
      </c>
      <c r="R766" s="251" t="str">
        <f t="shared" si="120"/>
        <v/>
      </c>
      <c r="S766" s="252" t="str">
        <f t="shared" si="121"/>
        <v/>
      </c>
      <c r="T766" s="253"/>
      <c r="U766" s="254">
        <v>0.32300000000000001</v>
      </c>
      <c r="V766" s="254">
        <v>0.316</v>
      </c>
      <c r="W766" s="254">
        <v>0.315</v>
      </c>
      <c r="X766" s="254">
        <v>0.30299999999999999</v>
      </c>
      <c r="Y766" s="254">
        <v>0.29899999999999999</v>
      </c>
      <c r="Z766" s="254">
        <v>0.29699999999999999</v>
      </c>
    </row>
    <row r="767" spans="13:26" x14ac:dyDescent="0.35">
      <c r="M767" s="250">
        <v>9368</v>
      </c>
      <c r="N767" s="251" t="str">
        <f t="shared" si="116"/>
        <v/>
      </c>
      <c r="O767" s="251" t="str">
        <f t="shared" si="117"/>
        <v/>
      </c>
      <c r="P767" s="251" t="str">
        <f t="shared" si="118"/>
        <v/>
      </c>
      <c r="Q767" s="251" t="str">
        <f t="shared" si="119"/>
        <v/>
      </c>
      <c r="R767" s="251" t="str">
        <f t="shared" si="120"/>
        <v/>
      </c>
      <c r="S767" s="252" t="str">
        <f t="shared" si="121"/>
        <v/>
      </c>
      <c r="T767" s="253"/>
      <c r="U767" s="254">
        <v>0.33300000000000002</v>
      </c>
      <c r="V767" s="254">
        <v>0.32600000000000001</v>
      </c>
      <c r="W767" s="254">
        <v>0.32400000000000001</v>
      </c>
      <c r="X767" s="254">
        <v>0.313</v>
      </c>
      <c r="Y767" s="254">
        <v>0.311</v>
      </c>
      <c r="Z767" s="254">
        <v>0.307</v>
      </c>
    </row>
    <row r="768" spans="13:26" x14ac:dyDescent="0.35">
      <c r="M768" s="250">
        <v>10109</v>
      </c>
      <c r="N768" s="251" t="str">
        <f t="shared" si="116"/>
        <v/>
      </c>
      <c r="O768" s="251" t="str">
        <f t="shared" si="117"/>
        <v/>
      </c>
      <c r="P768" s="251" t="str">
        <f t="shared" si="118"/>
        <v/>
      </c>
      <c r="Q768" s="251" t="str">
        <f t="shared" si="119"/>
        <v/>
      </c>
      <c r="R768" s="251" t="str">
        <f t="shared" si="120"/>
        <v/>
      </c>
      <c r="S768" s="252" t="str">
        <f t="shared" si="121"/>
        <v/>
      </c>
      <c r="T768" s="253"/>
      <c r="U768" s="254">
        <v>0.34699999999999998</v>
      </c>
      <c r="V768" s="254">
        <v>0.34100000000000003</v>
      </c>
      <c r="W768" s="254">
        <v>0.33900000000000002</v>
      </c>
      <c r="X768" s="254">
        <v>0.32700000000000001</v>
      </c>
      <c r="Y768" s="254">
        <v>0.32500000000000001</v>
      </c>
      <c r="Z768" s="254">
        <v>0.32300000000000001</v>
      </c>
    </row>
    <row r="769" spans="13:26" x14ac:dyDescent="0.35">
      <c r="M769" s="250">
        <v>12648</v>
      </c>
      <c r="N769" s="251" t="str">
        <f t="shared" si="116"/>
        <v/>
      </c>
      <c r="O769" s="251" t="str">
        <f t="shared" si="117"/>
        <v/>
      </c>
      <c r="P769" s="251" t="str">
        <f t="shared" si="118"/>
        <v/>
      </c>
      <c r="Q769" s="251" t="str">
        <f t="shared" si="119"/>
        <v/>
      </c>
      <c r="R769" s="251" t="str">
        <f t="shared" si="120"/>
        <v/>
      </c>
      <c r="S769" s="252" t="str">
        <f t="shared" si="121"/>
        <v/>
      </c>
      <c r="T769" s="253"/>
      <c r="U769" s="254">
        <v>0.35699999999999998</v>
      </c>
      <c r="V769" s="254">
        <v>0.35</v>
      </c>
      <c r="W769" s="254">
        <v>0.34799999999999998</v>
      </c>
      <c r="X769" s="254">
        <v>0.33700000000000002</v>
      </c>
      <c r="Y769" s="254">
        <v>0.33500000000000002</v>
      </c>
      <c r="Z769" s="254">
        <v>0.33300000000000002</v>
      </c>
    </row>
    <row r="770" spans="13:26" x14ac:dyDescent="0.35">
      <c r="M770" s="250">
        <v>12648</v>
      </c>
      <c r="N770" s="251" t="str">
        <f>IF($R$11&gt;=M769+0.01,U770,"")</f>
        <v/>
      </c>
      <c r="O770" s="251" t="str">
        <f>IF($R$11&gt;=M769,V770,"")</f>
        <v/>
      </c>
      <c r="P770" s="251" t="str">
        <f>IF($R$11&gt;=M769,W770,"")</f>
        <v/>
      </c>
      <c r="Q770" s="251" t="str">
        <f>IF($R$11&gt;=M769,X770,"")</f>
        <v/>
      </c>
      <c r="R770" s="252" t="str">
        <f>IF($R$11&gt;=M769,Y770,"")</f>
        <v/>
      </c>
      <c r="S770" s="251" t="str">
        <f>IF($R$11&gt;=M769,Z770,"")</f>
        <v/>
      </c>
      <c r="T770" s="253"/>
      <c r="U770" s="254">
        <v>0.36599999999999999</v>
      </c>
      <c r="V770" s="254">
        <v>0.36</v>
      </c>
      <c r="W770" s="254">
        <v>0.35799999999999998</v>
      </c>
      <c r="X770" s="254">
        <v>0.34699999999999998</v>
      </c>
      <c r="Y770" s="254">
        <v>0.34499999999999997</v>
      </c>
      <c r="Z770" s="254">
        <v>0.34300000000000003</v>
      </c>
    </row>
    <row r="771" spans="13:26" x14ac:dyDescent="0.35">
      <c r="M771" s="249"/>
      <c r="N771" s="257" t="str">
        <f>IF($A$15=3,IF($A$2=6,IF($I$2=0,SUM(N741:N770),""),""),"")</f>
        <v/>
      </c>
      <c r="O771" s="258" t="str">
        <f>IF($A$15=3,IF($A$2=6,IF($I$2=1,SUM(O741:O770),""),""),"")</f>
        <v/>
      </c>
      <c r="P771" s="258" t="str">
        <f>IF($A$15=3,IF($A$2=6,IF($I$2=2,SUM(P741:P770),""),""),"")</f>
        <v/>
      </c>
      <c r="Q771" s="258" t="str">
        <f>IF($A$15=3,IF($A$2=6,IF($I$2=3,SUM(Q741:Q770),""),""),"")</f>
        <v/>
      </c>
      <c r="R771" s="258" t="str">
        <f>IF($A$15=3,IF($A$2=6,IF($I$2=4,SUM(R741:R770),""),""),"")</f>
        <v/>
      </c>
      <c r="S771" s="259" t="str">
        <f>IF($A$15=3,IF($A$2=6,IF($I$2=5,SUM(S741:S770),""),""),"")</f>
        <v/>
      </c>
      <c r="T771" s="260">
        <f>SUM(N771:S771)</f>
        <v>0</v>
      </c>
      <c r="U771" s="253"/>
      <c r="V771" s="253"/>
      <c r="W771" s="253"/>
      <c r="X771" s="253"/>
      <c r="Y771" s="253"/>
      <c r="Z771" s="253"/>
    </row>
    <row r="772" spans="13:26" x14ac:dyDescent="0.35">
      <c r="M772" s="249"/>
      <c r="N772" s="249"/>
      <c r="O772" s="249"/>
      <c r="P772" s="249"/>
      <c r="Q772" s="249"/>
      <c r="R772" s="249"/>
      <c r="S772" s="249"/>
      <c r="T772" s="253"/>
      <c r="U772" s="253"/>
      <c r="V772" s="253"/>
      <c r="W772" s="253"/>
      <c r="X772" s="253"/>
      <c r="Y772" s="253"/>
      <c r="Z772" s="253"/>
    </row>
    <row r="773" spans="13:26" x14ac:dyDescent="0.35">
      <c r="M773" s="249"/>
      <c r="N773" s="249"/>
      <c r="O773" s="249"/>
      <c r="P773" s="249"/>
      <c r="Q773" s="249"/>
      <c r="R773" s="249"/>
      <c r="S773" s="249"/>
      <c r="T773" s="253"/>
      <c r="U773" s="253"/>
      <c r="V773" s="253"/>
      <c r="W773" s="253"/>
      <c r="X773" s="253"/>
      <c r="Y773" s="253"/>
      <c r="Z773" s="253"/>
    </row>
    <row r="774" spans="13:26" x14ac:dyDescent="0.35">
      <c r="M774" s="249"/>
      <c r="N774" s="249"/>
      <c r="O774" s="249"/>
      <c r="P774" s="249"/>
      <c r="Q774" s="249"/>
      <c r="R774" s="249"/>
      <c r="S774" s="249"/>
      <c r="T774" s="253"/>
      <c r="U774" s="253"/>
      <c r="V774" s="253"/>
      <c r="W774" s="253"/>
      <c r="X774" s="253"/>
      <c r="Y774" s="253"/>
      <c r="Z774" s="253"/>
    </row>
    <row r="775" spans="13:26" x14ac:dyDescent="0.35">
      <c r="M775" s="263" t="s">
        <v>213</v>
      </c>
      <c r="N775" s="264"/>
      <c r="O775" s="263" t="s">
        <v>148</v>
      </c>
      <c r="P775" s="264"/>
      <c r="Q775" s="264"/>
      <c r="R775" s="264"/>
      <c r="S775" s="249"/>
      <c r="T775" s="253"/>
      <c r="U775" s="265" t="str">
        <f>O775</f>
        <v>Tabelas de IRS de retenção na fonte referente a 2018 no Continente</v>
      </c>
      <c r="V775" s="253"/>
      <c r="W775" s="253"/>
      <c r="X775" s="253"/>
      <c r="Y775" s="253"/>
      <c r="Z775" s="253"/>
    </row>
    <row r="776" spans="13:26" x14ac:dyDescent="0.35">
      <c r="M776" s="249"/>
      <c r="N776" s="293" t="s">
        <v>198</v>
      </c>
      <c r="O776" s="249"/>
      <c r="P776" s="249"/>
      <c r="Q776" s="264"/>
      <c r="R776" s="264"/>
      <c r="S776" s="249"/>
      <c r="T776" s="253"/>
      <c r="U776" s="265" t="str">
        <f>N776</f>
        <v>T A B E L A  X - TRABALHO DEPENDENTE ARTIGO 29.º DA LEI DO ORÇAMENTO DO ESTADO PARA 2018</v>
      </c>
      <c r="V776" s="253"/>
      <c r="W776" s="253"/>
      <c r="X776" s="253"/>
      <c r="Y776" s="253"/>
      <c r="Z776" s="253"/>
    </row>
    <row r="777" spans="13:26" x14ac:dyDescent="0.35">
      <c r="M777" s="266"/>
      <c r="N777" s="264"/>
      <c r="O777" s="263" t="s">
        <v>152</v>
      </c>
      <c r="P777" s="249"/>
      <c r="Q777" s="264"/>
      <c r="R777" s="264"/>
      <c r="S777" s="249"/>
      <c r="T777" s="253"/>
      <c r="U777" s="265" t="str">
        <f>O777</f>
        <v>NÃO CASADO</v>
      </c>
      <c r="V777" s="253"/>
      <c r="W777" s="253"/>
      <c r="X777" s="253"/>
      <c r="Y777" s="253"/>
      <c r="Z777" s="253"/>
    </row>
    <row r="778" spans="13:26" x14ac:dyDescent="0.35">
      <c r="M778" s="267" t="s">
        <v>154</v>
      </c>
      <c r="N778" s="268" t="s">
        <v>155</v>
      </c>
      <c r="O778" s="268" t="s">
        <v>156</v>
      </c>
      <c r="P778" s="268" t="s">
        <v>157</v>
      </c>
      <c r="Q778" s="268" t="s">
        <v>158</v>
      </c>
      <c r="R778" s="268" t="s">
        <v>159</v>
      </c>
      <c r="S778" s="268" t="s">
        <v>160</v>
      </c>
      <c r="T778" s="253"/>
      <c r="U778" s="269" t="str">
        <f t="shared" ref="U778:Z778" si="122">N778</f>
        <v>0 dep</v>
      </c>
      <c r="V778" s="269" t="str">
        <f t="shared" si="122"/>
        <v>1 dep</v>
      </c>
      <c r="W778" s="269" t="str">
        <f t="shared" si="122"/>
        <v>2 dep</v>
      </c>
      <c r="X778" s="269" t="str">
        <f t="shared" si="122"/>
        <v>3 dep</v>
      </c>
      <c r="Y778" s="269" t="str">
        <f t="shared" si="122"/>
        <v>4 dep</v>
      </c>
      <c r="Z778" s="269" t="str">
        <f t="shared" si="122"/>
        <v>5 dep. ou +</v>
      </c>
    </row>
    <row r="779" spans="13:26" x14ac:dyDescent="0.35">
      <c r="M779" s="250">
        <v>659</v>
      </c>
      <c r="N779" s="251" t="str">
        <f>IF($R$11&lt;=M779,IF($R$11&gt;=0,0,""),"")</f>
        <v/>
      </c>
      <c r="O779" s="251" t="str">
        <f>IF($R$11&lt;=M779,IF($R$11&gt;=0,0,""),"")</f>
        <v/>
      </c>
      <c r="P779" s="251" t="str">
        <f>IF($R$11&lt;=M779,IF($R$11&gt;=0,0,""),"")</f>
        <v/>
      </c>
      <c r="Q779" s="251" t="str">
        <f>IF($R$11&lt;=M779,IF($R$11&gt;=0,0,""),"")</f>
        <v/>
      </c>
      <c r="R779" s="251" t="str">
        <f>IF($R$11&lt;=M779,IF($R$11&gt;=0,0,""),"")</f>
        <v/>
      </c>
      <c r="S779" s="251" t="str">
        <f>IF($R$11&lt;=M779,IF($R$11&gt;=0,0,""),"")</f>
        <v/>
      </c>
      <c r="T779" s="253"/>
      <c r="U779" s="254">
        <v>0</v>
      </c>
      <c r="V779" s="254">
        <v>0</v>
      </c>
      <c r="W779" s="254">
        <v>0</v>
      </c>
      <c r="X779" s="254">
        <v>0</v>
      </c>
      <c r="Y779" s="254">
        <v>0</v>
      </c>
      <c r="Z779" s="254">
        <v>0</v>
      </c>
    </row>
    <row r="780" spans="13:26" x14ac:dyDescent="0.35">
      <c r="M780" s="250">
        <v>686</v>
      </c>
      <c r="N780" s="251" t="str">
        <f t="shared" ref="N780:N815" si="123">IF($R$11&lt;=M780,IF($R$11&gt;=M779+0.01,U780,""),"")</f>
        <v/>
      </c>
      <c r="O780" s="251" t="str">
        <f t="shared" ref="O780:O815" si="124">IF($R$11&lt;=M780,IF($R$11&gt;=M779+0.01,V780,""),"")</f>
        <v/>
      </c>
      <c r="P780" s="251" t="str">
        <f t="shared" ref="P780:P815" si="125">IF($R$11&lt;=M780,IF($R$11&gt;=M779+0.01,W780,""),"")</f>
        <v/>
      </c>
      <c r="Q780" s="251" t="str">
        <f t="shared" ref="Q780:Q815" si="126">IF($R$11&lt;=M780,IF($R$11&gt;=M779+0.01,X780,""),"")</f>
        <v/>
      </c>
      <c r="R780" s="251" t="str">
        <f t="shared" ref="R780:R815" si="127">IF($R$11&lt;=M780,IF($R$11&gt;=M779+0.01,Y780,""),"")</f>
        <v/>
      </c>
      <c r="S780" s="252" t="str">
        <f t="shared" ref="S780:S815" si="128">IF($R$11&lt;=M780,IF($R$11&gt;=M779+0.01,Z780,""),"")</f>
        <v/>
      </c>
      <c r="T780" s="253"/>
      <c r="U780" s="254">
        <v>1E-3</v>
      </c>
      <c r="V780" s="254">
        <v>0</v>
      </c>
      <c r="W780" s="254">
        <v>0</v>
      </c>
      <c r="X780" s="254">
        <v>0</v>
      </c>
      <c r="Y780" s="254">
        <v>0</v>
      </c>
      <c r="Z780" s="254">
        <v>0</v>
      </c>
    </row>
    <row r="781" spans="13:26" x14ac:dyDescent="0.35">
      <c r="M781" s="250">
        <v>718</v>
      </c>
      <c r="N781" s="251" t="str">
        <f t="shared" si="123"/>
        <v/>
      </c>
      <c r="O781" s="251" t="str">
        <f t="shared" si="124"/>
        <v/>
      </c>
      <c r="P781" s="251" t="str">
        <f t="shared" si="125"/>
        <v/>
      </c>
      <c r="Q781" s="251" t="str">
        <f t="shared" si="126"/>
        <v/>
      </c>
      <c r="R781" s="251" t="str">
        <f t="shared" si="127"/>
        <v/>
      </c>
      <c r="S781" s="252" t="str">
        <f t="shared" si="128"/>
        <v/>
      </c>
      <c r="T781" s="253"/>
      <c r="U781" s="254">
        <v>4.2000000000000003E-2</v>
      </c>
      <c r="V781" s="254">
        <v>8.0000000000000002E-3</v>
      </c>
      <c r="W781" s="254">
        <v>0</v>
      </c>
      <c r="X781" s="254">
        <v>0</v>
      </c>
      <c r="Y781" s="254">
        <v>0</v>
      </c>
      <c r="Z781" s="254">
        <v>0</v>
      </c>
    </row>
    <row r="782" spans="13:26" x14ac:dyDescent="0.35">
      <c r="M782" s="250">
        <v>739</v>
      </c>
      <c r="N782" s="251" t="str">
        <f t="shared" si="123"/>
        <v/>
      </c>
      <c r="O782" s="251" t="str">
        <f t="shared" si="124"/>
        <v/>
      </c>
      <c r="P782" s="251" t="str">
        <f t="shared" si="125"/>
        <v/>
      </c>
      <c r="Q782" s="251" t="str">
        <f t="shared" si="126"/>
        <v/>
      </c>
      <c r="R782" s="251" t="str">
        <f t="shared" si="127"/>
        <v/>
      </c>
      <c r="S782" s="252" t="str">
        <f t="shared" si="128"/>
        <v/>
      </c>
      <c r="T782" s="253"/>
      <c r="U782" s="254">
        <v>7.2999999999999995E-2</v>
      </c>
      <c r="V782" s="254">
        <v>2.8000000000000001E-2</v>
      </c>
      <c r="W782" s="254">
        <v>2E-3</v>
      </c>
      <c r="X782" s="254">
        <v>0</v>
      </c>
      <c r="Y782" s="254">
        <v>0</v>
      </c>
      <c r="Z782" s="254">
        <v>0</v>
      </c>
    </row>
    <row r="783" spans="13:26" x14ac:dyDescent="0.35">
      <c r="M783" s="250">
        <v>814</v>
      </c>
      <c r="N783" s="251" t="str">
        <f t="shared" si="123"/>
        <v/>
      </c>
      <c r="O783" s="251" t="str">
        <f t="shared" si="124"/>
        <v/>
      </c>
      <c r="P783" s="251" t="str">
        <f t="shared" si="125"/>
        <v/>
      </c>
      <c r="Q783" s="251" t="str">
        <f t="shared" si="126"/>
        <v/>
      </c>
      <c r="R783" s="251" t="str">
        <f t="shared" si="127"/>
        <v/>
      </c>
      <c r="S783" s="252" t="str">
        <f t="shared" si="128"/>
        <v/>
      </c>
      <c r="T783" s="253"/>
      <c r="U783" s="254">
        <v>8.2000000000000003E-2</v>
      </c>
      <c r="V783" s="254">
        <v>4.5999999999999999E-2</v>
      </c>
      <c r="W783" s="254">
        <v>1.0999999999999999E-2</v>
      </c>
      <c r="X783" s="254">
        <v>0</v>
      </c>
      <c r="Y783" s="254">
        <v>0</v>
      </c>
      <c r="Z783" s="254">
        <v>0</v>
      </c>
    </row>
    <row r="784" spans="13:26" x14ac:dyDescent="0.35">
      <c r="M784" s="250">
        <v>922</v>
      </c>
      <c r="N784" s="251" t="str">
        <f t="shared" si="123"/>
        <v/>
      </c>
      <c r="O784" s="251" t="str">
        <f t="shared" si="124"/>
        <v/>
      </c>
      <c r="P784" s="251" t="str">
        <f t="shared" si="125"/>
        <v/>
      </c>
      <c r="Q784" s="251" t="str">
        <f t="shared" si="126"/>
        <v/>
      </c>
      <c r="R784" s="251" t="str">
        <f t="shared" si="127"/>
        <v/>
      </c>
      <c r="S784" s="252" t="str">
        <f t="shared" si="128"/>
        <v/>
      </c>
      <c r="T784" s="253"/>
      <c r="U784" s="254">
        <v>0.104</v>
      </c>
      <c r="V784" s="254">
        <v>6.9000000000000006E-2</v>
      </c>
      <c r="W784" s="254">
        <v>3.5999999999999997E-2</v>
      </c>
      <c r="X784" s="254">
        <v>0</v>
      </c>
      <c r="Y784" s="254">
        <v>0</v>
      </c>
      <c r="Z784" s="254">
        <v>0</v>
      </c>
    </row>
    <row r="785" spans="13:26" x14ac:dyDescent="0.35">
      <c r="M785" s="250">
        <v>1005</v>
      </c>
      <c r="N785" s="251" t="str">
        <f t="shared" si="123"/>
        <v/>
      </c>
      <c r="O785" s="251" t="str">
        <f t="shared" si="124"/>
        <v/>
      </c>
      <c r="P785" s="251" t="str">
        <f t="shared" si="125"/>
        <v/>
      </c>
      <c r="Q785" s="251" t="str">
        <f t="shared" si="126"/>
        <v/>
      </c>
      <c r="R785" s="251" t="str">
        <f t="shared" si="127"/>
        <v/>
      </c>
      <c r="S785" s="252" t="str">
        <f t="shared" si="128"/>
        <v/>
      </c>
      <c r="T785" s="253"/>
      <c r="U785" s="254">
        <v>0.11600000000000001</v>
      </c>
      <c r="V785" s="254">
        <v>8.2000000000000003E-2</v>
      </c>
      <c r="W785" s="254">
        <v>5.8000000000000003E-2</v>
      </c>
      <c r="X785" s="254">
        <v>1.4999999999999999E-2</v>
      </c>
      <c r="Y785" s="254">
        <v>0</v>
      </c>
      <c r="Z785" s="254">
        <v>0</v>
      </c>
    </row>
    <row r="786" spans="13:26" x14ac:dyDescent="0.35">
      <c r="M786" s="250">
        <v>1065</v>
      </c>
      <c r="N786" s="251" t="str">
        <f t="shared" si="123"/>
        <v/>
      </c>
      <c r="O786" s="251" t="str">
        <f t="shared" si="124"/>
        <v/>
      </c>
      <c r="P786" s="251" t="str">
        <f t="shared" si="125"/>
        <v/>
      </c>
      <c r="Q786" s="251" t="str">
        <f t="shared" si="126"/>
        <v/>
      </c>
      <c r="R786" s="251" t="str">
        <f t="shared" si="127"/>
        <v/>
      </c>
      <c r="S786" s="252" t="str">
        <f t="shared" si="128"/>
        <v/>
      </c>
      <c r="T786" s="253"/>
      <c r="U786" s="254">
        <v>0.124</v>
      </c>
      <c r="V786" s="254">
        <v>9.0999999999999998E-2</v>
      </c>
      <c r="W786" s="254">
        <v>6.7000000000000004E-2</v>
      </c>
      <c r="X786" s="254">
        <v>3.4000000000000002E-2</v>
      </c>
      <c r="Y786" s="254">
        <v>0</v>
      </c>
      <c r="Z786" s="254">
        <v>0</v>
      </c>
    </row>
    <row r="787" spans="13:26" x14ac:dyDescent="0.35">
      <c r="M787" s="250">
        <v>1143</v>
      </c>
      <c r="N787" s="251" t="str">
        <f t="shared" si="123"/>
        <v/>
      </c>
      <c r="O787" s="251" t="str">
        <f t="shared" si="124"/>
        <v/>
      </c>
      <c r="P787" s="251" t="str">
        <f t="shared" si="125"/>
        <v/>
      </c>
      <c r="Q787" s="251" t="str">
        <f t="shared" si="126"/>
        <v/>
      </c>
      <c r="R787" s="251" t="str">
        <f t="shared" si="127"/>
        <v/>
      </c>
      <c r="S787" s="252" t="str">
        <f t="shared" si="128"/>
        <v/>
      </c>
      <c r="T787" s="253"/>
      <c r="U787" s="254">
        <v>0.13500000000000001</v>
      </c>
      <c r="V787" s="254">
        <v>0.11</v>
      </c>
      <c r="W787" s="254">
        <v>8.5999999999999993E-2</v>
      </c>
      <c r="X787" s="254">
        <v>5.1999999999999998E-2</v>
      </c>
      <c r="Y787" s="254">
        <v>2.8000000000000001E-2</v>
      </c>
      <c r="Z787" s="254">
        <v>3.0000000000000001E-3</v>
      </c>
    </row>
    <row r="788" spans="13:26" x14ac:dyDescent="0.35">
      <c r="M788" s="250">
        <v>1225</v>
      </c>
      <c r="N788" s="251" t="str">
        <f t="shared" si="123"/>
        <v/>
      </c>
      <c r="O788" s="251" t="str">
        <f t="shared" si="124"/>
        <v/>
      </c>
      <c r="P788" s="251" t="str">
        <f t="shared" si="125"/>
        <v/>
      </c>
      <c r="Q788" s="251" t="str">
        <f t="shared" si="126"/>
        <v/>
      </c>
      <c r="R788" s="251" t="str">
        <f t="shared" si="127"/>
        <v/>
      </c>
      <c r="S788" s="252" t="str">
        <f t="shared" si="128"/>
        <v/>
      </c>
      <c r="T788" s="253"/>
      <c r="U788" s="254">
        <v>0.14499999999999999</v>
      </c>
      <c r="V788" s="254">
        <v>0.121</v>
      </c>
      <c r="W788" s="254">
        <v>9.6000000000000002E-2</v>
      </c>
      <c r="X788" s="254">
        <v>6.2E-2</v>
      </c>
      <c r="Y788" s="254">
        <v>3.6999999999999998E-2</v>
      </c>
      <c r="Z788" s="254">
        <v>1.2999999999999999E-2</v>
      </c>
    </row>
    <row r="789" spans="13:26" x14ac:dyDescent="0.35">
      <c r="M789" s="250">
        <v>1321</v>
      </c>
      <c r="N789" s="251" t="str">
        <f t="shared" si="123"/>
        <v/>
      </c>
      <c r="O789" s="251" t="str">
        <f t="shared" si="124"/>
        <v/>
      </c>
      <c r="P789" s="251" t="str">
        <f t="shared" si="125"/>
        <v/>
      </c>
      <c r="Q789" s="251" t="str">
        <f t="shared" si="126"/>
        <v/>
      </c>
      <c r="R789" s="251" t="str">
        <f t="shared" si="127"/>
        <v/>
      </c>
      <c r="S789" s="252" t="str">
        <f t="shared" si="128"/>
        <v/>
      </c>
      <c r="T789" s="253"/>
      <c r="U789" s="254">
        <v>0.156</v>
      </c>
      <c r="V789" s="254">
        <v>0.13200000000000001</v>
      </c>
      <c r="W789" s="254">
        <v>0.108</v>
      </c>
      <c r="X789" s="254">
        <v>7.1999999999999995E-2</v>
      </c>
      <c r="Y789" s="254">
        <v>4.7E-2</v>
      </c>
      <c r="Z789" s="254">
        <v>2.3E-2</v>
      </c>
    </row>
    <row r="790" spans="13:26" x14ac:dyDescent="0.35">
      <c r="M790" s="250">
        <v>1424</v>
      </c>
      <c r="N790" s="251" t="str">
        <f t="shared" si="123"/>
        <v/>
      </c>
      <c r="O790" s="251" t="str">
        <f t="shared" si="124"/>
        <v/>
      </c>
      <c r="P790" s="251" t="str">
        <f t="shared" si="125"/>
        <v/>
      </c>
      <c r="Q790" s="251" t="str">
        <f t="shared" si="126"/>
        <v/>
      </c>
      <c r="R790" s="251" t="str">
        <f t="shared" si="127"/>
        <v/>
      </c>
      <c r="S790" s="252" t="str">
        <f t="shared" si="128"/>
        <v/>
      </c>
      <c r="T790" s="253"/>
      <c r="U790" s="254">
        <v>0.16600000000000001</v>
      </c>
      <c r="V790" s="254">
        <v>0.14199999999999999</v>
      </c>
      <c r="W790" s="254">
        <v>0.11700000000000001</v>
      </c>
      <c r="X790" s="254">
        <v>8.3000000000000004E-2</v>
      </c>
      <c r="Y790" s="254">
        <v>6.7000000000000004E-2</v>
      </c>
      <c r="Z790" s="254">
        <v>4.1000000000000002E-2</v>
      </c>
    </row>
    <row r="791" spans="13:26" x14ac:dyDescent="0.35">
      <c r="M791" s="250">
        <v>1562</v>
      </c>
      <c r="N791" s="251" t="str">
        <f t="shared" si="123"/>
        <v/>
      </c>
      <c r="O791" s="251" t="str">
        <f t="shared" si="124"/>
        <v/>
      </c>
      <c r="P791" s="251" t="str">
        <f t="shared" si="125"/>
        <v/>
      </c>
      <c r="Q791" s="251" t="str">
        <f t="shared" si="126"/>
        <v/>
      </c>
      <c r="R791" s="251" t="str">
        <f t="shared" si="127"/>
        <v/>
      </c>
      <c r="S791" s="252" t="str">
        <f t="shared" si="128"/>
        <v/>
      </c>
      <c r="T791" s="253"/>
      <c r="U791" s="254">
        <v>0.17699999999999999</v>
      </c>
      <c r="V791" s="254">
        <v>0.152</v>
      </c>
      <c r="W791" s="254">
        <v>0.127</v>
      </c>
      <c r="X791" s="254">
        <v>0.10299999999999999</v>
      </c>
      <c r="Y791" s="254">
        <v>7.8E-2</v>
      </c>
      <c r="Z791" s="254">
        <v>5.0999999999999997E-2</v>
      </c>
    </row>
    <row r="792" spans="13:26" x14ac:dyDescent="0.35">
      <c r="M792" s="250">
        <v>1711</v>
      </c>
      <c r="N792" s="251">
        <f t="shared" si="123"/>
        <v>0.191</v>
      </c>
      <c r="O792" s="251">
        <f t="shared" si="124"/>
        <v>0.16700000000000001</v>
      </c>
      <c r="P792" s="251">
        <f t="shared" si="125"/>
        <v>0.152</v>
      </c>
      <c r="Q792" s="251">
        <f t="shared" si="126"/>
        <v>0.11700000000000001</v>
      </c>
      <c r="R792" s="251">
        <f t="shared" si="127"/>
        <v>9.1999999999999998E-2</v>
      </c>
      <c r="S792" s="252">
        <f t="shared" si="128"/>
        <v>6.7000000000000004E-2</v>
      </c>
      <c r="T792" s="253"/>
      <c r="U792" s="254">
        <v>0.191</v>
      </c>
      <c r="V792" s="254">
        <v>0.16700000000000001</v>
      </c>
      <c r="W792" s="254">
        <v>0.152</v>
      </c>
      <c r="X792" s="254">
        <v>0.11700000000000001</v>
      </c>
      <c r="Y792" s="254">
        <v>9.1999999999999998E-2</v>
      </c>
      <c r="Z792" s="254">
        <v>6.7000000000000004E-2</v>
      </c>
    </row>
    <row r="793" spans="13:26" x14ac:dyDescent="0.35">
      <c r="M793" s="250">
        <v>1870</v>
      </c>
      <c r="N793" s="251" t="str">
        <f t="shared" si="123"/>
        <v/>
      </c>
      <c r="O793" s="251" t="str">
        <f t="shared" si="124"/>
        <v/>
      </c>
      <c r="P793" s="251" t="str">
        <f t="shared" si="125"/>
        <v/>
      </c>
      <c r="Q793" s="251" t="str">
        <f t="shared" si="126"/>
        <v/>
      </c>
      <c r="R793" s="251" t="str">
        <f t="shared" si="127"/>
        <v/>
      </c>
      <c r="S793" s="252" t="str">
        <f t="shared" si="128"/>
        <v/>
      </c>
      <c r="T793" s="253"/>
      <c r="U793" s="254">
        <v>0.20499999999999999</v>
      </c>
      <c r="V793" s="254">
        <v>0.187</v>
      </c>
      <c r="W793" s="254">
        <v>0.17799999999999999</v>
      </c>
      <c r="X793" s="254">
        <v>0.14899999999999999</v>
      </c>
      <c r="Y793" s="254">
        <v>0.129</v>
      </c>
      <c r="Z793" s="254">
        <v>0.12</v>
      </c>
    </row>
    <row r="794" spans="13:26" x14ac:dyDescent="0.35">
      <c r="M794" s="250">
        <v>1977</v>
      </c>
      <c r="N794" s="251" t="str">
        <f t="shared" si="123"/>
        <v/>
      </c>
      <c r="O794" s="251" t="str">
        <f t="shared" si="124"/>
        <v/>
      </c>
      <c r="P794" s="251" t="str">
        <f t="shared" si="125"/>
        <v/>
      </c>
      <c r="Q794" s="251" t="str">
        <f t="shared" si="126"/>
        <v/>
      </c>
      <c r="R794" s="251" t="str">
        <f t="shared" si="127"/>
        <v/>
      </c>
      <c r="S794" s="252" t="str">
        <f t="shared" si="128"/>
        <v/>
      </c>
      <c r="T794" s="253"/>
      <c r="U794" s="254">
        <v>0.215</v>
      </c>
      <c r="V794" s="254">
        <v>0.19900000000000001</v>
      </c>
      <c r="W794" s="254">
        <v>0.187</v>
      </c>
      <c r="X794" s="254">
        <v>0.159</v>
      </c>
      <c r="Y794" s="254">
        <v>0.14899999999999999</v>
      </c>
      <c r="Z794" s="254">
        <v>0.129</v>
      </c>
    </row>
    <row r="795" spans="13:26" x14ac:dyDescent="0.35">
      <c r="M795" s="250">
        <v>2090</v>
      </c>
      <c r="N795" s="251" t="str">
        <f t="shared" si="123"/>
        <v/>
      </c>
      <c r="O795" s="251" t="str">
        <f t="shared" si="124"/>
        <v/>
      </c>
      <c r="P795" s="251" t="str">
        <f t="shared" si="125"/>
        <v/>
      </c>
      <c r="Q795" s="251" t="str">
        <f t="shared" si="126"/>
        <v/>
      </c>
      <c r="R795" s="251" t="str">
        <f t="shared" si="127"/>
        <v/>
      </c>
      <c r="S795" s="252" t="str">
        <f t="shared" si="128"/>
        <v/>
      </c>
      <c r="T795" s="253"/>
      <c r="U795" s="254">
        <v>0.22500000000000001</v>
      </c>
      <c r="V795" s="254">
        <v>0.20799999999999999</v>
      </c>
      <c r="W795" s="254">
        <v>0.19800000000000001</v>
      </c>
      <c r="X795" s="254">
        <v>0.16800000000000001</v>
      </c>
      <c r="Y795" s="254">
        <v>0.159</v>
      </c>
      <c r="Z795" s="254">
        <v>0.13900000000000001</v>
      </c>
    </row>
    <row r="796" spans="13:26" x14ac:dyDescent="0.35">
      <c r="M796" s="250">
        <v>2218</v>
      </c>
      <c r="N796" s="251" t="str">
        <f t="shared" si="123"/>
        <v/>
      </c>
      <c r="O796" s="251" t="str">
        <f t="shared" si="124"/>
        <v/>
      </c>
      <c r="P796" s="251" t="str">
        <f t="shared" si="125"/>
        <v/>
      </c>
      <c r="Q796" s="251" t="str">
        <f t="shared" si="126"/>
        <v/>
      </c>
      <c r="R796" s="251" t="str">
        <f t="shared" si="127"/>
        <v/>
      </c>
      <c r="S796" s="252" t="str">
        <f t="shared" si="128"/>
        <v/>
      </c>
      <c r="T796" s="253"/>
      <c r="U796" s="254">
        <v>0.23499999999999999</v>
      </c>
      <c r="V796" s="254">
        <v>0.219</v>
      </c>
      <c r="W796" s="254">
        <v>0.20899999999999999</v>
      </c>
      <c r="X796" s="254">
        <v>0.18</v>
      </c>
      <c r="Y796" s="254">
        <v>0.16900000000000001</v>
      </c>
      <c r="Z796" s="254">
        <v>0.14899999999999999</v>
      </c>
    </row>
    <row r="797" spans="13:26" x14ac:dyDescent="0.35">
      <c r="M797" s="250">
        <v>2367</v>
      </c>
      <c r="N797" s="251" t="str">
        <f t="shared" si="123"/>
        <v/>
      </c>
      <c r="O797" s="251" t="str">
        <f t="shared" si="124"/>
        <v/>
      </c>
      <c r="P797" s="251" t="str">
        <f t="shared" si="125"/>
        <v/>
      </c>
      <c r="Q797" s="251" t="str">
        <f t="shared" si="126"/>
        <v/>
      </c>
      <c r="R797" s="251" t="str">
        <f t="shared" si="127"/>
        <v/>
      </c>
      <c r="S797" s="252" t="str">
        <f t="shared" si="128"/>
        <v/>
      </c>
      <c r="T797" s="253"/>
      <c r="U797" s="254">
        <v>0.245</v>
      </c>
      <c r="V797" s="254">
        <v>0.22900000000000001</v>
      </c>
      <c r="W797" s="254">
        <v>0.219</v>
      </c>
      <c r="X797" s="254">
        <v>0.19</v>
      </c>
      <c r="Y797" s="254">
        <v>0.18099999999999999</v>
      </c>
      <c r="Z797" s="254">
        <v>0.159</v>
      </c>
    </row>
    <row r="798" spans="13:26" x14ac:dyDescent="0.35">
      <c r="M798" s="250">
        <v>2535</v>
      </c>
      <c r="N798" s="251" t="str">
        <f t="shared" si="123"/>
        <v/>
      </c>
      <c r="O798" s="251" t="str">
        <f t="shared" si="124"/>
        <v/>
      </c>
      <c r="P798" s="251" t="str">
        <f t="shared" si="125"/>
        <v/>
      </c>
      <c r="Q798" s="251" t="str">
        <f t="shared" si="126"/>
        <v/>
      </c>
      <c r="R798" s="251" t="str">
        <f t="shared" si="127"/>
        <v/>
      </c>
      <c r="S798" s="252" t="str">
        <f t="shared" si="128"/>
        <v/>
      </c>
      <c r="T798" s="253"/>
      <c r="U798" s="254">
        <v>0.255</v>
      </c>
      <c r="V798" s="254">
        <v>0.249</v>
      </c>
      <c r="W798" s="254">
        <v>0.22900000000000001</v>
      </c>
      <c r="X798" s="254">
        <v>0.21</v>
      </c>
      <c r="Y798" s="254">
        <v>0.19</v>
      </c>
      <c r="Z798" s="254">
        <v>0.18099999999999999</v>
      </c>
    </row>
    <row r="799" spans="13:26" x14ac:dyDescent="0.35">
      <c r="M799" s="250">
        <v>2767</v>
      </c>
      <c r="N799" s="251" t="str">
        <f t="shared" si="123"/>
        <v/>
      </c>
      <c r="O799" s="251" t="str">
        <f t="shared" si="124"/>
        <v/>
      </c>
      <c r="P799" s="251" t="str">
        <f t="shared" si="125"/>
        <v/>
      </c>
      <c r="Q799" s="251" t="str">
        <f t="shared" si="126"/>
        <v/>
      </c>
      <c r="R799" s="251" t="str">
        <f t="shared" si="127"/>
        <v/>
      </c>
      <c r="S799" s="252" t="str">
        <f t="shared" si="128"/>
        <v/>
      </c>
      <c r="T799" s="253"/>
      <c r="U799" s="254">
        <v>0.26500000000000001</v>
      </c>
      <c r="V799" s="254">
        <v>0.25800000000000001</v>
      </c>
      <c r="W799" s="254">
        <v>0.24</v>
      </c>
      <c r="X799" s="254">
        <v>0.22</v>
      </c>
      <c r="Y799" s="254">
        <v>0.2</v>
      </c>
      <c r="Z799" s="254">
        <v>0.19</v>
      </c>
    </row>
    <row r="800" spans="13:26" x14ac:dyDescent="0.35">
      <c r="M800" s="250">
        <v>3104</v>
      </c>
      <c r="N800" s="251" t="str">
        <f t="shared" si="123"/>
        <v/>
      </c>
      <c r="O800" s="251" t="str">
        <f t="shared" si="124"/>
        <v/>
      </c>
      <c r="P800" s="251" t="str">
        <f t="shared" si="125"/>
        <v/>
      </c>
      <c r="Q800" s="251" t="str">
        <f t="shared" si="126"/>
        <v/>
      </c>
      <c r="R800" s="251" t="str">
        <f t="shared" si="127"/>
        <v/>
      </c>
      <c r="S800" s="252" t="str">
        <f t="shared" si="128"/>
        <v/>
      </c>
      <c r="T800" s="253"/>
      <c r="U800" s="254">
        <v>0.27800000000000002</v>
      </c>
      <c r="V800" s="254">
        <v>0.27100000000000002</v>
      </c>
      <c r="W800" s="254">
        <v>0.252</v>
      </c>
      <c r="X800" s="254">
        <v>0.23200000000000001</v>
      </c>
      <c r="Y800" s="254">
        <v>0.21199999999999999</v>
      </c>
      <c r="Z800" s="254">
        <v>0.20200000000000001</v>
      </c>
    </row>
    <row r="801" spans="13:26" x14ac:dyDescent="0.35">
      <c r="M801" s="250">
        <v>3534</v>
      </c>
      <c r="N801" s="251" t="str">
        <f t="shared" si="123"/>
        <v/>
      </c>
      <c r="O801" s="251" t="str">
        <f t="shared" si="124"/>
        <v/>
      </c>
      <c r="P801" s="251" t="str">
        <f t="shared" si="125"/>
        <v/>
      </c>
      <c r="Q801" s="251" t="str">
        <f t="shared" si="126"/>
        <v/>
      </c>
      <c r="R801" s="251" t="str">
        <f t="shared" si="127"/>
        <v/>
      </c>
      <c r="S801" s="252" t="str">
        <f t="shared" si="128"/>
        <v/>
      </c>
      <c r="T801" s="253"/>
      <c r="U801" s="254">
        <v>0.29399999999999998</v>
      </c>
      <c r="V801" s="254">
        <v>0.29099999999999998</v>
      </c>
      <c r="W801" s="254">
        <v>0.27500000000000002</v>
      </c>
      <c r="X801" s="254">
        <v>0.25900000000000001</v>
      </c>
      <c r="Y801" s="254">
        <v>0.253</v>
      </c>
      <c r="Z801" s="254">
        <v>0.23699999999999999</v>
      </c>
    </row>
    <row r="802" spans="13:26" x14ac:dyDescent="0.35">
      <c r="M802" s="250">
        <v>4118</v>
      </c>
      <c r="N802" s="251" t="str">
        <f t="shared" si="123"/>
        <v/>
      </c>
      <c r="O802" s="251" t="str">
        <f t="shared" si="124"/>
        <v/>
      </c>
      <c r="P802" s="251" t="str">
        <f t="shared" si="125"/>
        <v/>
      </c>
      <c r="Q802" s="251" t="str">
        <f t="shared" si="126"/>
        <v/>
      </c>
      <c r="R802" s="251" t="str">
        <f t="shared" si="127"/>
        <v/>
      </c>
      <c r="S802" s="252" t="str">
        <f t="shared" si="128"/>
        <v/>
      </c>
      <c r="T802" s="253"/>
      <c r="U802" s="254">
        <v>0.30499999999999999</v>
      </c>
      <c r="V802" s="254">
        <v>0.30299999999999999</v>
      </c>
      <c r="W802" s="254">
        <v>0.28499999999999998</v>
      </c>
      <c r="X802" s="254">
        <v>0.26900000000000002</v>
      </c>
      <c r="Y802" s="254">
        <v>0.26300000000000001</v>
      </c>
      <c r="Z802" s="254">
        <v>0.25700000000000001</v>
      </c>
    </row>
    <row r="803" spans="13:26" x14ac:dyDescent="0.35">
      <c r="M803" s="250">
        <v>4650</v>
      </c>
      <c r="N803" s="251" t="str">
        <f t="shared" si="123"/>
        <v/>
      </c>
      <c r="O803" s="251" t="str">
        <f t="shared" si="124"/>
        <v/>
      </c>
      <c r="P803" s="251" t="str">
        <f t="shared" si="125"/>
        <v/>
      </c>
      <c r="Q803" s="251" t="str">
        <f t="shared" si="126"/>
        <v/>
      </c>
      <c r="R803" s="251" t="str">
        <f t="shared" si="127"/>
        <v/>
      </c>
      <c r="S803" s="252" t="str">
        <f t="shared" si="128"/>
        <v/>
      </c>
      <c r="T803" s="253"/>
      <c r="U803" s="254">
        <v>0.32300000000000001</v>
      </c>
      <c r="V803" s="254">
        <v>0.318</v>
      </c>
      <c r="W803" s="254">
        <v>0.30199999999999999</v>
      </c>
      <c r="X803" s="254">
        <v>0.28399999999999997</v>
      </c>
      <c r="Y803" s="254">
        <v>0.27800000000000002</v>
      </c>
      <c r="Z803" s="254">
        <v>0.27200000000000002</v>
      </c>
    </row>
    <row r="804" spans="13:26" x14ac:dyDescent="0.35">
      <c r="M804" s="250">
        <v>5194</v>
      </c>
      <c r="N804" s="251" t="str">
        <f t="shared" si="123"/>
        <v/>
      </c>
      <c r="O804" s="251" t="str">
        <f t="shared" si="124"/>
        <v/>
      </c>
      <c r="P804" s="251" t="str">
        <f t="shared" si="125"/>
        <v/>
      </c>
      <c r="Q804" s="251" t="str">
        <f t="shared" si="126"/>
        <v/>
      </c>
      <c r="R804" s="251" t="str">
        <f t="shared" si="127"/>
        <v/>
      </c>
      <c r="S804" s="252" t="str">
        <f t="shared" si="128"/>
        <v/>
      </c>
      <c r="T804" s="253"/>
      <c r="U804" s="254">
        <v>0.33300000000000002</v>
      </c>
      <c r="V804" s="254">
        <v>0.32800000000000001</v>
      </c>
      <c r="W804" s="254">
        <v>0.32200000000000001</v>
      </c>
      <c r="X804" s="254">
        <v>0.29699999999999999</v>
      </c>
      <c r="Y804" s="254">
        <v>0.28799999999999998</v>
      </c>
      <c r="Z804" s="254">
        <v>0.28199999999999997</v>
      </c>
    </row>
    <row r="805" spans="13:26" x14ac:dyDescent="0.35">
      <c r="M805" s="250">
        <v>5880</v>
      </c>
      <c r="N805" s="251" t="str">
        <f t="shared" si="123"/>
        <v/>
      </c>
      <c r="O805" s="251" t="str">
        <f t="shared" si="124"/>
        <v/>
      </c>
      <c r="P805" s="251" t="str">
        <f t="shared" si="125"/>
        <v/>
      </c>
      <c r="Q805" s="251" t="str">
        <f t="shared" si="126"/>
        <v/>
      </c>
      <c r="R805" s="251" t="str">
        <f t="shared" si="127"/>
        <v/>
      </c>
      <c r="S805" s="252" t="str">
        <f t="shared" si="128"/>
        <v/>
      </c>
      <c r="T805" s="253"/>
      <c r="U805" s="254">
        <v>0.34300000000000003</v>
      </c>
      <c r="V805" s="254">
        <v>0.33800000000000002</v>
      </c>
      <c r="W805" s="254">
        <v>0.33200000000000002</v>
      </c>
      <c r="X805" s="254">
        <v>0.30599999999999999</v>
      </c>
      <c r="Y805" s="254">
        <v>0.3</v>
      </c>
      <c r="Z805" s="254">
        <v>0.29199999999999998</v>
      </c>
    </row>
    <row r="806" spans="13:26" x14ac:dyDescent="0.35">
      <c r="M806" s="250">
        <v>6727</v>
      </c>
      <c r="N806" s="251" t="str">
        <f t="shared" si="123"/>
        <v/>
      </c>
      <c r="O806" s="251" t="str">
        <f t="shared" si="124"/>
        <v/>
      </c>
      <c r="P806" s="251" t="str">
        <f t="shared" si="125"/>
        <v/>
      </c>
      <c r="Q806" s="251" t="str">
        <f t="shared" si="126"/>
        <v/>
      </c>
      <c r="R806" s="251" t="str">
        <f t="shared" si="127"/>
        <v/>
      </c>
      <c r="S806" s="252" t="str">
        <f t="shared" si="128"/>
        <v/>
      </c>
      <c r="T806" s="253"/>
      <c r="U806" s="254">
        <v>0.36299999999999999</v>
      </c>
      <c r="V806" s="254">
        <v>0.35899999999999999</v>
      </c>
      <c r="W806" s="254">
        <v>0.35099999999999998</v>
      </c>
      <c r="X806" s="254">
        <v>0.33200000000000002</v>
      </c>
      <c r="Y806" s="254">
        <v>0.32800000000000001</v>
      </c>
      <c r="Z806" s="254">
        <v>0.32400000000000001</v>
      </c>
    </row>
    <row r="807" spans="13:26" x14ac:dyDescent="0.35">
      <c r="M807" s="250">
        <v>7939</v>
      </c>
      <c r="N807" s="251" t="str">
        <f t="shared" si="123"/>
        <v/>
      </c>
      <c r="O807" s="251" t="str">
        <f t="shared" si="124"/>
        <v/>
      </c>
      <c r="P807" s="251" t="str">
        <f t="shared" si="125"/>
        <v/>
      </c>
      <c r="Q807" s="251" t="str">
        <f t="shared" si="126"/>
        <v/>
      </c>
      <c r="R807" s="251" t="str">
        <f t="shared" si="127"/>
        <v/>
      </c>
      <c r="S807" s="252" t="str">
        <f t="shared" si="128"/>
        <v/>
      </c>
      <c r="T807" s="253"/>
      <c r="U807" s="254">
        <v>0.373</v>
      </c>
      <c r="V807" s="254">
        <v>0.36899999999999999</v>
      </c>
      <c r="W807" s="254">
        <v>0.36499999999999999</v>
      </c>
      <c r="X807" s="254">
        <v>0.35199999999999998</v>
      </c>
      <c r="Y807" s="254">
        <v>0.33800000000000002</v>
      </c>
      <c r="Z807" s="254">
        <v>0.33400000000000002</v>
      </c>
    </row>
    <row r="808" spans="13:26" x14ac:dyDescent="0.35">
      <c r="M808" s="250">
        <v>9560</v>
      </c>
      <c r="N808" s="251" t="str">
        <f t="shared" si="123"/>
        <v/>
      </c>
      <c r="O808" s="251" t="str">
        <f t="shared" si="124"/>
        <v/>
      </c>
      <c r="P808" s="251" t="str">
        <f t="shared" si="125"/>
        <v/>
      </c>
      <c r="Q808" s="251" t="str">
        <f t="shared" si="126"/>
        <v/>
      </c>
      <c r="R808" s="251" t="str">
        <f t="shared" si="127"/>
        <v/>
      </c>
      <c r="S808" s="252" t="str">
        <f t="shared" si="128"/>
        <v/>
      </c>
      <c r="T808" s="253"/>
      <c r="U808" s="254">
        <v>0.39300000000000002</v>
      </c>
      <c r="V808" s="254">
        <v>0.38900000000000001</v>
      </c>
      <c r="W808" s="254">
        <v>0.38500000000000001</v>
      </c>
      <c r="X808" s="254">
        <v>0.372</v>
      </c>
      <c r="Y808" s="254">
        <v>0.36799999999999999</v>
      </c>
      <c r="Z808" s="254">
        <v>0.35399999999999998</v>
      </c>
    </row>
    <row r="809" spans="13:26" x14ac:dyDescent="0.35">
      <c r="M809" s="250">
        <v>11282</v>
      </c>
      <c r="N809" s="251" t="str">
        <f t="shared" si="123"/>
        <v/>
      </c>
      <c r="O809" s="251" t="str">
        <f t="shared" si="124"/>
        <v/>
      </c>
      <c r="P809" s="251" t="str">
        <f t="shared" si="125"/>
        <v/>
      </c>
      <c r="Q809" s="251" t="str">
        <f t="shared" si="126"/>
        <v/>
      </c>
      <c r="R809" s="251" t="str">
        <f t="shared" si="127"/>
        <v/>
      </c>
      <c r="S809" s="252" t="str">
        <f t="shared" si="128"/>
        <v/>
      </c>
      <c r="T809" s="253"/>
      <c r="U809" s="254">
        <v>0.40300000000000002</v>
      </c>
      <c r="V809" s="254">
        <v>0.39900000000000002</v>
      </c>
      <c r="W809" s="254">
        <v>0.39500000000000002</v>
      </c>
      <c r="X809" s="254">
        <v>0.38600000000000001</v>
      </c>
      <c r="Y809" s="254">
        <v>0.378</v>
      </c>
      <c r="Z809" s="254">
        <v>0.36399999999999999</v>
      </c>
    </row>
    <row r="810" spans="13:26" x14ac:dyDescent="0.35">
      <c r="M810" s="250">
        <v>18854</v>
      </c>
      <c r="N810" s="251" t="str">
        <f t="shared" si="123"/>
        <v/>
      </c>
      <c r="O810" s="251" t="str">
        <f t="shared" si="124"/>
        <v/>
      </c>
      <c r="P810" s="251" t="str">
        <f t="shared" si="125"/>
        <v/>
      </c>
      <c r="Q810" s="251" t="str">
        <f t="shared" si="126"/>
        <v/>
      </c>
      <c r="R810" s="251" t="str">
        <f t="shared" si="127"/>
        <v/>
      </c>
      <c r="S810" s="252" t="str">
        <f t="shared" si="128"/>
        <v/>
      </c>
      <c r="T810" s="253"/>
      <c r="U810" s="254">
        <v>0.41299999999999998</v>
      </c>
      <c r="V810" s="254">
        <v>0.40899999999999997</v>
      </c>
      <c r="W810" s="254">
        <v>0.40500000000000003</v>
      </c>
      <c r="X810" s="254">
        <v>0.39600000000000002</v>
      </c>
      <c r="Y810" s="254">
        <v>0.39200000000000002</v>
      </c>
      <c r="Z810" s="254">
        <v>0.374</v>
      </c>
    </row>
    <row r="811" spans="13:26" x14ac:dyDescent="0.35">
      <c r="M811" s="250">
        <v>20221</v>
      </c>
      <c r="N811" s="251" t="str">
        <f t="shared" si="123"/>
        <v/>
      </c>
      <c r="O811" s="251" t="str">
        <f t="shared" si="124"/>
        <v/>
      </c>
      <c r="P811" s="251" t="str">
        <f t="shared" si="125"/>
        <v/>
      </c>
      <c r="Q811" s="251" t="str">
        <f t="shared" si="126"/>
        <v/>
      </c>
      <c r="R811" s="251" t="str">
        <f t="shared" si="127"/>
        <v/>
      </c>
      <c r="S811" s="252" t="str">
        <f t="shared" si="128"/>
        <v/>
      </c>
      <c r="T811" s="253"/>
      <c r="U811" s="254">
        <v>0.42299999999999999</v>
      </c>
      <c r="V811" s="254">
        <v>0.41899999999999998</v>
      </c>
      <c r="W811" s="254">
        <v>0.41499999999999998</v>
      </c>
      <c r="X811" s="254">
        <v>0.40600000000000003</v>
      </c>
      <c r="Y811" s="254">
        <v>0.40200000000000002</v>
      </c>
      <c r="Z811" s="254">
        <v>0.38400000000000001</v>
      </c>
    </row>
    <row r="812" spans="13:26" x14ac:dyDescent="0.35">
      <c r="M812" s="250">
        <v>22749</v>
      </c>
      <c r="N812" s="251" t="str">
        <f t="shared" si="123"/>
        <v/>
      </c>
      <c r="O812" s="251" t="str">
        <f t="shared" si="124"/>
        <v/>
      </c>
      <c r="P812" s="251" t="str">
        <f t="shared" si="125"/>
        <v/>
      </c>
      <c r="Q812" s="251" t="str">
        <f t="shared" si="126"/>
        <v/>
      </c>
      <c r="R812" s="251" t="str">
        <f t="shared" si="127"/>
        <v/>
      </c>
      <c r="S812" s="252" t="str">
        <f t="shared" si="128"/>
        <v/>
      </c>
      <c r="T812" s="253"/>
      <c r="U812" s="254">
        <v>0.43099999999999999</v>
      </c>
      <c r="V812" s="254">
        <v>0.42899999999999999</v>
      </c>
      <c r="W812" s="254">
        <v>0.42499999999999999</v>
      </c>
      <c r="X812" s="254">
        <v>0.41599999999999998</v>
      </c>
      <c r="Y812" s="254">
        <v>0.41199999999999998</v>
      </c>
      <c r="Z812" s="254">
        <v>0.39600000000000002</v>
      </c>
    </row>
    <row r="813" spans="13:26" x14ac:dyDescent="0.35">
      <c r="M813" s="250">
        <v>25276</v>
      </c>
      <c r="N813" s="251" t="str">
        <f t="shared" si="123"/>
        <v/>
      </c>
      <c r="O813" s="251" t="str">
        <f t="shared" si="124"/>
        <v/>
      </c>
      <c r="P813" s="251" t="str">
        <f t="shared" si="125"/>
        <v/>
      </c>
      <c r="Q813" s="251" t="str">
        <f t="shared" si="126"/>
        <v/>
      </c>
      <c r="R813" s="251" t="str">
        <f t="shared" si="127"/>
        <v/>
      </c>
      <c r="S813" s="252" t="str">
        <f t="shared" si="128"/>
        <v/>
      </c>
      <c r="T813" s="253"/>
      <c r="U813" s="254">
        <v>0.441</v>
      </c>
      <c r="V813" s="254">
        <v>0.439</v>
      </c>
      <c r="W813" s="254">
        <v>0.435</v>
      </c>
      <c r="X813" s="254">
        <v>0.42599999999999999</v>
      </c>
      <c r="Y813" s="254">
        <v>0.42199999999999999</v>
      </c>
      <c r="Z813" s="254">
        <v>0.40799999999999997</v>
      </c>
    </row>
    <row r="814" spans="13:26" x14ac:dyDescent="0.35">
      <c r="M814" s="250">
        <v>25276</v>
      </c>
      <c r="N814" s="251" t="str">
        <f t="shared" si="123"/>
        <v/>
      </c>
      <c r="O814" s="251" t="str">
        <f t="shared" si="124"/>
        <v/>
      </c>
      <c r="P814" s="251" t="str">
        <f t="shared" si="125"/>
        <v/>
      </c>
      <c r="Q814" s="251" t="str">
        <f t="shared" si="126"/>
        <v/>
      </c>
      <c r="R814" s="251" t="str">
        <f t="shared" si="127"/>
        <v/>
      </c>
      <c r="S814" s="252" t="str">
        <f t="shared" si="128"/>
        <v/>
      </c>
      <c r="T814" s="253"/>
      <c r="U814" s="254">
        <v>0.45100000000000001</v>
      </c>
      <c r="V814" s="254">
        <v>0.44900000000000001</v>
      </c>
      <c r="W814" s="254">
        <v>0.44500000000000001</v>
      </c>
      <c r="X814" s="254">
        <v>0.436</v>
      </c>
      <c r="Y814" s="254">
        <v>0.432</v>
      </c>
      <c r="Z814" s="254">
        <v>0.41799999999999998</v>
      </c>
    </row>
    <row r="815" spans="13:26" x14ac:dyDescent="0.35">
      <c r="M815" s="250">
        <v>25276</v>
      </c>
      <c r="N815" s="251" t="str">
        <f t="shared" si="123"/>
        <v/>
      </c>
      <c r="O815" s="251" t="str">
        <f t="shared" si="124"/>
        <v/>
      </c>
      <c r="P815" s="251" t="str">
        <f t="shared" si="125"/>
        <v/>
      </c>
      <c r="Q815" s="251" t="str">
        <f t="shared" si="126"/>
        <v/>
      </c>
      <c r="R815" s="251" t="str">
        <f t="shared" si="127"/>
        <v/>
      </c>
      <c r="S815" s="252" t="str">
        <f t="shared" si="128"/>
        <v/>
      </c>
      <c r="T815" s="253"/>
      <c r="U815" s="254">
        <v>0.45100000000000001</v>
      </c>
      <c r="V815" s="254">
        <v>0.44900000000000001</v>
      </c>
      <c r="W815" s="254">
        <v>0.44500000000000001</v>
      </c>
      <c r="X815" s="254">
        <v>0.436</v>
      </c>
      <c r="Y815" s="254">
        <v>0.432</v>
      </c>
      <c r="Z815" s="254">
        <v>0.41799999999999998</v>
      </c>
    </row>
    <row r="816" spans="13:26" x14ac:dyDescent="0.35">
      <c r="M816" s="250">
        <v>25276</v>
      </c>
      <c r="N816" s="251"/>
      <c r="O816" s="251"/>
      <c r="P816" s="251"/>
      <c r="Q816" s="251"/>
      <c r="R816" s="252"/>
      <c r="S816" s="251"/>
      <c r="T816" s="253"/>
      <c r="U816" s="254">
        <v>0.45100000000000001</v>
      </c>
      <c r="V816" s="254">
        <v>0.44900000000000001</v>
      </c>
      <c r="W816" s="254">
        <v>0.44500000000000001</v>
      </c>
      <c r="X816" s="254">
        <v>0.436</v>
      </c>
      <c r="Y816" s="254">
        <v>0.432</v>
      </c>
      <c r="Z816" s="254">
        <v>0.41799999999999998</v>
      </c>
    </row>
    <row r="817" spans="13:26" x14ac:dyDescent="0.35">
      <c r="M817" s="250">
        <v>25276</v>
      </c>
      <c r="N817" s="280" t="str">
        <f>IF($A$15=1,IF($A$2=7,IF($I$2=0,SUM(N779:N816),""),""),"")</f>
        <v/>
      </c>
      <c r="O817" s="281" t="str">
        <f>IF($A$15=1,IF($A$2=7,IF($I$2=1,SUM(O779:O816),""),""),"")</f>
        <v/>
      </c>
      <c r="P817" s="281" t="str">
        <f>IF($A$15=1,IF($A$2=7,IF($I$2=2,SUM(P779:P816),""),""),"")</f>
        <v/>
      </c>
      <c r="Q817" s="281" t="str">
        <f>IF($A$15=1,IF($A$2=7,IF($I$2=3,SUM(Q779:Q816),""),""),"")</f>
        <v/>
      </c>
      <c r="R817" s="281" t="str">
        <f>IF($A$15=1,IF($A$2=7,IF($I$2=4,SUM(R779:R816),""),""),"")</f>
        <v/>
      </c>
      <c r="S817" s="282" t="str">
        <f>IF($A$15=1,IF($A$2=7,IF($I$2=5,SUM(S779:S816),""),""),"")</f>
        <v/>
      </c>
      <c r="T817" s="260">
        <f>SUM(N817:S817)</f>
        <v>0</v>
      </c>
      <c r="U817" s="254">
        <v>0.45100000000000001</v>
      </c>
      <c r="V817" s="254">
        <v>0.44900000000000001</v>
      </c>
      <c r="W817" s="254">
        <v>0.44500000000000001</v>
      </c>
      <c r="X817" s="254">
        <v>0.436</v>
      </c>
      <c r="Y817" s="254">
        <v>0.432</v>
      </c>
      <c r="Z817" s="254">
        <v>0.41799999999999998</v>
      </c>
    </row>
    <row r="818" spans="13:26" x14ac:dyDescent="0.35">
      <c r="M818" s="250">
        <v>25276</v>
      </c>
      <c r="N818" s="249"/>
      <c r="O818" s="249"/>
      <c r="P818" s="249"/>
      <c r="Q818" s="249"/>
      <c r="R818" s="249"/>
      <c r="S818" s="249"/>
      <c r="T818" s="253"/>
      <c r="U818" s="254">
        <v>0.45100000000000001</v>
      </c>
      <c r="V818" s="254">
        <v>0.44900000000000001</v>
      </c>
      <c r="W818" s="254">
        <v>0.44500000000000001</v>
      </c>
      <c r="X818" s="254">
        <v>0.436</v>
      </c>
      <c r="Y818" s="254">
        <v>0.432</v>
      </c>
      <c r="Z818" s="254">
        <v>0.41799999999999998</v>
      </c>
    </row>
    <row r="819" spans="13:26" x14ac:dyDescent="0.35">
      <c r="M819" s="249"/>
      <c r="N819" s="249"/>
      <c r="O819" s="249"/>
      <c r="P819" s="249"/>
      <c r="Q819" s="249"/>
      <c r="R819" s="249"/>
      <c r="S819" s="249"/>
      <c r="T819" s="253"/>
      <c r="U819" s="253"/>
      <c r="V819" s="253"/>
      <c r="W819" s="253"/>
      <c r="X819" s="253"/>
      <c r="Y819" s="253"/>
      <c r="Z819" s="253"/>
    </row>
    <row r="820" spans="13:26" x14ac:dyDescent="0.35">
      <c r="M820" s="249"/>
      <c r="N820" s="249"/>
      <c r="O820" s="249"/>
      <c r="P820" s="249"/>
      <c r="Q820" s="249"/>
      <c r="R820" s="249"/>
      <c r="S820" s="249"/>
      <c r="T820" s="253"/>
      <c r="U820" s="253"/>
      <c r="V820" s="253"/>
      <c r="W820" s="253"/>
      <c r="X820" s="253"/>
      <c r="Y820" s="253"/>
      <c r="Z820" s="253"/>
    </row>
    <row r="821" spans="13:26" x14ac:dyDescent="0.35">
      <c r="M821" s="263" t="s">
        <v>147</v>
      </c>
      <c r="N821" s="264"/>
      <c r="O821" s="263" t="s">
        <v>148</v>
      </c>
      <c r="P821" s="264"/>
      <c r="Q821" s="264"/>
      <c r="R821" s="264"/>
      <c r="S821" s="249"/>
      <c r="T821" s="253"/>
      <c r="U821" s="265" t="str">
        <f>O821</f>
        <v>Tabelas de IRS de retenção na fonte referente a 2018 no Continente</v>
      </c>
      <c r="V821" s="253"/>
      <c r="W821" s="253"/>
      <c r="X821" s="253"/>
      <c r="Y821" s="253"/>
      <c r="Z821" s="253"/>
    </row>
    <row r="822" spans="13:26" x14ac:dyDescent="0.35">
      <c r="M822" s="249"/>
      <c r="N822" s="293" t="s">
        <v>199</v>
      </c>
      <c r="O822" s="249"/>
      <c r="P822" s="249"/>
      <c r="Q822" s="264"/>
      <c r="R822" s="264"/>
      <c r="S822" s="249"/>
      <c r="T822" s="253"/>
      <c r="U822" s="265" t="str">
        <f>N822</f>
        <v>T A B E L A  XI - TRABALHO DEPENDENTE ARTIGO 29.º DA LEI DO ORÇAMENTO DO ESTADO PARA 2018</v>
      </c>
      <c r="V822" s="253"/>
      <c r="W822" s="253"/>
      <c r="X822" s="253"/>
      <c r="Y822" s="253"/>
      <c r="Z822" s="253"/>
    </row>
    <row r="823" spans="13:26" x14ac:dyDescent="0.35">
      <c r="M823" s="266"/>
      <c r="N823" s="264"/>
      <c r="O823" s="263" t="s">
        <v>178</v>
      </c>
      <c r="P823" s="249"/>
      <c r="Q823" s="264"/>
      <c r="R823" s="264"/>
      <c r="S823" s="249"/>
      <c r="T823" s="253"/>
      <c r="U823" s="265" t="str">
        <f>O823</f>
        <v>CASADO UNICO TITULAR</v>
      </c>
      <c r="V823" s="253"/>
      <c r="W823" s="253"/>
      <c r="X823" s="253"/>
      <c r="Y823" s="253"/>
      <c r="Z823" s="253"/>
    </row>
    <row r="824" spans="13:26" x14ac:dyDescent="0.35">
      <c r="M824" s="267" t="s">
        <v>154</v>
      </c>
      <c r="N824" s="268" t="s">
        <v>155</v>
      </c>
      <c r="O824" s="268" t="s">
        <v>156</v>
      </c>
      <c r="P824" s="268" t="s">
        <v>157</v>
      </c>
      <c r="Q824" s="268" t="s">
        <v>158</v>
      </c>
      <c r="R824" s="268" t="s">
        <v>159</v>
      </c>
      <c r="S824" s="268" t="s">
        <v>160</v>
      </c>
      <c r="T824" s="253"/>
      <c r="U824" s="269" t="str">
        <f t="shared" ref="U824:Z824" si="129">N824</f>
        <v>0 dep</v>
      </c>
      <c r="V824" s="269" t="str">
        <f t="shared" si="129"/>
        <v>1 dep</v>
      </c>
      <c r="W824" s="269" t="str">
        <f t="shared" si="129"/>
        <v>2 dep</v>
      </c>
      <c r="X824" s="269" t="str">
        <f t="shared" si="129"/>
        <v>3 dep</v>
      </c>
      <c r="Y824" s="269" t="str">
        <f t="shared" si="129"/>
        <v>4 dep</v>
      </c>
      <c r="Z824" s="269" t="str">
        <f t="shared" si="129"/>
        <v>5 dep. ou +</v>
      </c>
    </row>
    <row r="825" spans="13:26" x14ac:dyDescent="0.35">
      <c r="M825" s="250">
        <v>659</v>
      </c>
      <c r="N825" s="251" t="str">
        <f>IF($R$11&lt;=M825,IF($R$11&gt;=0,0,""),"")</f>
        <v/>
      </c>
      <c r="O825" s="251" t="str">
        <f>IF($R$11&lt;=M825,IF($R$11&gt;=0,0,""),"")</f>
        <v/>
      </c>
      <c r="P825" s="251" t="str">
        <f>IF($R$11&lt;=M825,IF($R$11&gt;=0,0,""),"")</f>
        <v/>
      </c>
      <c r="Q825" s="251" t="str">
        <f>IF($R$11&lt;=M825,IF($R$11&gt;=0,0,""),"")</f>
        <v/>
      </c>
      <c r="R825" s="251" t="str">
        <f>IF($R$11&lt;=M825,IF($R$11&gt;=0,0,""),"")</f>
        <v/>
      </c>
      <c r="S825" s="251" t="str">
        <f>IF($R$11&lt;=M825,IF($R$11&gt;=0,0,""),"")</f>
        <v/>
      </c>
      <c r="T825" s="253"/>
      <c r="U825" s="254">
        <v>0</v>
      </c>
      <c r="V825" s="254">
        <v>0</v>
      </c>
      <c r="W825" s="254">
        <v>0</v>
      </c>
      <c r="X825" s="254">
        <v>0</v>
      </c>
      <c r="Y825" s="254">
        <v>0</v>
      </c>
      <c r="Z825" s="254">
        <v>0</v>
      </c>
    </row>
    <row r="826" spans="13:26" x14ac:dyDescent="0.35">
      <c r="M826" s="250">
        <v>686</v>
      </c>
      <c r="N826" s="251" t="str">
        <f t="shared" ref="N826:N860" si="130">IF($R$11&lt;=M826,IF($R$11&gt;=M825+0.01,U826,""),"")</f>
        <v/>
      </c>
      <c r="O826" s="251" t="str">
        <f t="shared" ref="O826:O860" si="131">IF($R$11&lt;=M826,IF($R$11&gt;=M825+0.01,V826,""),"")</f>
        <v/>
      </c>
      <c r="P826" s="251" t="str">
        <f t="shared" ref="P826:P860" si="132">IF($R$11&lt;=M826,IF($R$11&gt;=M825+0.01,W826,""),"")</f>
        <v/>
      </c>
      <c r="Q826" s="251" t="str">
        <f t="shared" ref="Q826:Q860" si="133">IF($R$11&lt;=M826,IF($R$11&gt;=M825+0.01,X826,""),"")</f>
        <v/>
      </c>
      <c r="R826" s="251" t="str">
        <f t="shared" ref="R826:R860" si="134">IF($R$11&lt;=M826,IF($R$11&gt;=M825+0.01,Y826,""),"")</f>
        <v/>
      </c>
      <c r="S826" s="252" t="str">
        <f t="shared" ref="S826:S860" si="135">IF($R$11&lt;=M826,IF($R$11&gt;=M825+0.01,Z826,""),"")</f>
        <v/>
      </c>
      <c r="T826" s="253"/>
      <c r="U826" s="254">
        <v>1E-3</v>
      </c>
      <c r="V826" s="254">
        <v>0</v>
      </c>
      <c r="W826" s="254">
        <v>0</v>
      </c>
      <c r="X826" s="254">
        <v>0</v>
      </c>
      <c r="Y826" s="254">
        <v>0</v>
      </c>
      <c r="Z826" s="254">
        <v>0</v>
      </c>
    </row>
    <row r="827" spans="13:26" x14ac:dyDescent="0.35">
      <c r="M827" s="250">
        <v>708</v>
      </c>
      <c r="N827" s="251" t="str">
        <f t="shared" si="130"/>
        <v/>
      </c>
      <c r="O827" s="251" t="str">
        <f t="shared" si="131"/>
        <v/>
      </c>
      <c r="P827" s="251" t="str">
        <f t="shared" si="132"/>
        <v/>
      </c>
      <c r="Q827" s="251" t="str">
        <f t="shared" si="133"/>
        <v/>
      </c>
      <c r="R827" s="251" t="str">
        <f t="shared" si="134"/>
        <v/>
      </c>
      <c r="S827" s="252" t="str">
        <f t="shared" si="135"/>
        <v/>
      </c>
      <c r="T827" s="253"/>
      <c r="U827" s="254">
        <v>2.4E-2</v>
      </c>
      <c r="V827" s="254">
        <v>0</v>
      </c>
      <c r="W827" s="254">
        <v>0</v>
      </c>
      <c r="X827" s="254">
        <v>0</v>
      </c>
      <c r="Y827" s="254">
        <v>0</v>
      </c>
      <c r="Z827" s="254">
        <v>0</v>
      </c>
    </row>
    <row r="828" spans="13:26" x14ac:dyDescent="0.35">
      <c r="M828" s="250">
        <v>754</v>
      </c>
      <c r="N828" s="251" t="str">
        <f t="shared" si="130"/>
        <v/>
      </c>
      <c r="O828" s="251" t="str">
        <f t="shared" si="131"/>
        <v/>
      </c>
      <c r="P828" s="251" t="str">
        <f t="shared" si="132"/>
        <v/>
      </c>
      <c r="Q828" s="251" t="str">
        <f t="shared" si="133"/>
        <v/>
      </c>
      <c r="R828" s="251" t="str">
        <f t="shared" si="134"/>
        <v/>
      </c>
      <c r="S828" s="252" t="str">
        <f t="shared" si="135"/>
        <v/>
      </c>
      <c r="T828" s="253"/>
      <c r="U828" s="254">
        <v>3.4000000000000002E-2</v>
      </c>
      <c r="V828" s="254">
        <v>0</v>
      </c>
      <c r="W828" s="254">
        <v>0</v>
      </c>
      <c r="X828" s="254">
        <v>0</v>
      </c>
      <c r="Y828" s="254">
        <v>0</v>
      </c>
      <c r="Z828" s="254">
        <v>0</v>
      </c>
    </row>
    <row r="829" spans="13:26" x14ac:dyDescent="0.35">
      <c r="M829" s="250">
        <v>794</v>
      </c>
      <c r="N829" s="251" t="str">
        <f t="shared" si="130"/>
        <v/>
      </c>
      <c r="O829" s="251" t="str">
        <f t="shared" si="131"/>
        <v/>
      </c>
      <c r="P829" s="251" t="str">
        <f t="shared" si="132"/>
        <v/>
      </c>
      <c r="Q829" s="251" t="str">
        <f t="shared" si="133"/>
        <v/>
      </c>
      <c r="R829" s="251" t="str">
        <f t="shared" si="134"/>
        <v/>
      </c>
      <c r="S829" s="252" t="str">
        <f t="shared" si="135"/>
        <v/>
      </c>
      <c r="T829" s="253"/>
      <c r="U829" s="254">
        <v>4.8000000000000001E-2</v>
      </c>
      <c r="V829" s="254">
        <v>0.01</v>
      </c>
      <c r="W829" s="254">
        <v>0</v>
      </c>
      <c r="X829" s="254">
        <v>0</v>
      </c>
      <c r="Y829" s="254">
        <v>0</v>
      </c>
      <c r="Z829" s="254">
        <v>0</v>
      </c>
    </row>
    <row r="830" spans="13:26" x14ac:dyDescent="0.35">
      <c r="M830" s="250">
        <v>836</v>
      </c>
      <c r="N830" s="251" t="str">
        <f t="shared" si="130"/>
        <v/>
      </c>
      <c r="O830" s="251" t="str">
        <f t="shared" si="131"/>
        <v/>
      </c>
      <c r="P830" s="251" t="str">
        <f t="shared" si="132"/>
        <v/>
      </c>
      <c r="Q830" s="251" t="str">
        <f t="shared" si="133"/>
        <v/>
      </c>
      <c r="R830" s="251" t="str">
        <f t="shared" si="134"/>
        <v/>
      </c>
      <c r="S830" s="252" t="str">
        <f t="shared" si="135"/>
        <v/>
      </c>
      <c r="T830" s="253"/>
      <c r="U830" s="254">
        <v>5.7000000000000002E-2</v>
      </c>
      <c r="V830" s="254">
        <v>1.9E-2</v>
      </c>
      <c r="W830" s="254">
        <v>0.01</v>
      </c>
      <c r="X830" s="254">
        <v>0</v>
      </c>
      <c r="Y830" s="254">
        <v>0</v>
      </c>
      <c r="Z830" s="254">
        <v>0</v>
      </c>
    </row>
    <row r="831" spans="13:26" x14ac:dyDescent="0.35">
      <c r="M831" s="250">
        <v>886</v>
      </c>
      <c r="N831" s="251" t="str">
        <f t="shared" si="130"/>
        <v/>
      </c>
      <c r="O831" s="251" t="str">
        <f t="shared" si="131"/>
        <v/>
      </c>
      <c r="P831" s="251" t="str">
        <f t="shared" si="132"/>
        <v/>
      </c>
      <c r="Q831" s="251" t="str">
        <f t="shared" si="133"/>
        <v/>
      </c>
      <c r="R831" s="251" t="str">
        <f t="shared" si="134"/>
        <v/>
      </c>
      <c r="S831" s="252" t="str">
        <f t="shared" si="135"/>
        <v/>
      </c>
      <c r="T831" s="253"/>
      <c r="U831" s="254">
        <v>6.6000000000000003E-2</v>
      </c>
      <c r="V831" s="254">
        <v>3.7999999999999999E-2</v>
      </c>
      <c r="W831" s="254">
        <v>1.2999999999999999E-2</v>
      </c>
      <c r="X831" s="254">
        <v>0</v>
      </c>
      <c r="Y831" s="254">
        <v>0</v>
      </c>
      <c r="Z831" s="254">
        <v>0</v>
      </c>
    </row>
    <row r="832" spans="13:26" x14ac:dyDescent="0.35">
      <c r="M832" s="250">
        <v>974</v>
      </c>
      <c r="N832" s="251" t="str">
        <f t="shared" si="130"/>
        <v/>
      </c>
      <c r="O832" s="251" t="str">
        <f t="shared" si="131"/>
        <v/>
      </c>
      <c r="P832" s="251" t="str">
        <f t="shared" si="132"/>
        <v/>
      </c>
      <c r="Q832" s="251" t="str">
        <f t="shared" si="133"/>
        <v/>
      </c>
      <c r="R832" s="251" t="str">
        <f t="shared" si="134"/>
        <v/>
      </c>
      <c r="S832" s="252" t="str">
        <f t="shared" si="135"/>
        <v/>
      </c>
      <c r="T832" s="253"/>
      <c r="U832" s="254">
        <v>7.3999999999999996E-2</v>
      </c>
      <c r="V832" s="254">
        <v>4.7E-2</v>
      </c>
      <c r="W832" s="254">
        <v>0.03</v>
      </c>
      <c r="X832" s="254">
        <v>0</v>
      </c>
      <c r="Y832" s="254">
        <v>0</v>
      </c>
      <c r="Z832" s="254">
        <v>0</v>
      </c>
    </row>
    <row r="833" spans="13:26" x14ac:dyDescent="0.35">
      <c r="M833" s="250">
        <v>1081</v>
      </c>
      <c r="N833" s="251" t="str">
        <f t="shared" si="130"/>
        <v/>
      </c>
      <c r="O833" s="251" t="str">
        <f t="shared" si="131"/>
        <v/>
      </c>
      <c r="P833" s="251" t="str">
        <f t="shared" si="132"/>
        <v/>
      </c>
      <c r="Q833" s="251" t="str">
        <f t="shared" si="133"/>
        <v/>
      </c>
      <c r="R833" s="251" t="str">
        <f t="shared" si="134"/>
        <v/>
      </c>
      <c r="S833" s="252" t="str">
        <f t="shared" si="135"/>
        <v/>
      </c>
      <c r="T833" s="253"/>
      <c r="U833" s="254">
        <v>8.3000000000000004E-2</v>
      </c>
      <c r="V833" s="254">
        <v>5.6000000000000001E-2</v>
      </c>
      <c r="W833" s="254">
        <v>3.7999999999999999E-2</v>
      </c>
      <c r="X833" s="254">
        <v>1.0999999999999999E-2</v>
      </c>
      <c r="Y833" s="254">
        <v>0</v>
      </c>
      <c r="Z833" s="254">
        <v>0</v>
      </c>
    </row>
    <row r="834" spans="13:26" x14ac:dyDescent="0.35">
      <c r="M834" s="250">
        <v>1225</v>
      </c>
      <c r="N834" s="251" t="str">
        <f t="shared" si="130"/>
        <v/>
      </c>
      <c r="O834" s="251" t="str">
        <f t="shared" si="131"/>
        <v/>
      </c>
      <c r="P834" s="251" t="str">
        <f t="shared" si="132"/>
        <v/>
      </c>
      <c r="Q834" s="251" t="str">
        <f t="shared" si="133"/>
        <v/>
      </c>
      <c r="R834" s="251" t="str">
        <f t="shared" si="134"/>
        <v/>
      </c>
      <c r="S834" s="252" t="str">
        <f t="shared" si="135"/>
        <v/>
      </c>
      <c r="T834" s="253"/>
      <c r="U834" s="254">
        <v>9.4E-2</v>
      </c>
      <c r="V834" s="254">
        <v>7.0000000000000007E-2</v>
      </c>
      <c r="W834" s="254">
        <v>4.8000000000000001E-2</v>
      </c>
      <c r="X834" s="254">
        <v>2.1000000000000001E-2</v>
      </c>
      <c r="Y834" s="254">
        <v>2E-3</v>
      </c>
      <c r="Z834" s="254">
        <v>0</v>
      </c>
    </row>
    <row r="835" spans="13:26" x14ac:dyDescent="0.35">
      <c r="M835" s="250">
        <v>1404</v>
      </c>
      <c r="N835" s="251" t="str">
        <f t="shared" si="130"/>
        <v/>
      </c>
      <c r="O835" s="251" t="str">
        <f t="shared" si="131"/>
        <v/>
      </c>
      <c r="P835" s="251" t="str">
        <f t="shared" si="132"/>
        <v/>
      </c>
      <c r="Q835" s="251" t="str">
        <f t="shared" si="133"/>
        <v/>
      </c>
      <c r="R835" s="251" t="str">
        <f t="shared" si="134"/>
        <v/>
      </c>
      <c r="S835" s="252" t="str">
        <f t="shared" si="135"/>
        <v/>
      </c>
      <c r="T835" s="253"/>
      <c r="U835" s="254">
        <v>0.109</v>
      </c>
      <c r="V835" s="254">
        <v>9.0999999999999998E-2</v>
      </c>
      <c r="W835" s="254">
        <v>7.1999999999999995E-2</v>
      </c>
      <c r="X835" s="254">
        <v>4.3999999999999997E-2</v>
      </c>
      <c r="Y835" s="254">
        <v>2.7E-2</v>
      </c>
      <c r="Z835" s="254">
        <v>1.7999999999999999E-2</v>
      </c>
    </row>
    <row r="836" spans="13:26" x14ac:dyDescent="0.35">
      <c r="M836" s="250">
        <v>1629</v>
      </c>
      <c r="N836" s="251">
        <f t="shared" si="130"/>
        <v>0.11899999999999999</v>
      </c>
      <c r="O836" s="251">
        <f t="shared" si="131"/>
        <v>0.10199999999999999</v>
      </c>
      <c r="P836" s="251">
        <f t="shared" si="132"/>
        <v>8.3000000000000004E-2</v>
      </c>
      <c r="Q836" s="251">
        <f t="shared" si="133"/>
        <v>6.4000000000000001E-2</v>
      </c>
      <c r="R836" s="251">
        <f t="shared" si="134"/>
        <v>4.5999999999999999E-2</v>
      </c>
      <c r="S836" s="252">
        <f t="shared" si="135"/>
        <v>2.8000000000000001E-2</v>
      </c>
      <c r="T836" s="253"/>
      <c r="U836" s="254">
        <v>0.11899999999999999</v>
      </c>
      <c r="V836" s="254">
        <v>0.10199999999999999</v>
      </c>
      <c r="W836" s="254">
        <v>8.3000000000000004E-2</v>
      </c>
      <c r="X836" s="254">
        <v>6.4000000000000001E-2</v>
      </c>
      <c r="Y836" s="254">
        <v>4.5999999999999999E-2</v>
      </c>
      <c r="Z836" s="254">
        <v>2.8000000000000001E-2</v>
      </c>
    </row>
    <row r="837" spans="13:26" x14ac:dyDescent="0.35">
      <c r="M837" s="250">
        <v>1733</v>
      </c>
      <c r="N837" s="251" t="str">
        <f t="shared" si="130"/>
        <v/>
      </c>
      <c r="O837" s="251" t="str">
        <f t="shared" si="131"/>
        <v/>
      </c>
      <c r="P837" s="251" t="str">
        <f t="shared" si="132"/>
        <v/>
      </c>
      <c r="Q837" s="251" t="str">
        <f t="shared" si="133"/>
        <v/>
      </c>
      <c r="R837" s="251" t="str">
        <f t="shared" si="134"/>
        <v/>
      </c>
      <c r="S837" s="252" t="str">
        <f t="shared" si="135"/>
        <v/>
      </c>
      <c r="T837" s="253"/>
      <c r="U837" s="254">
        <v>0.13400000000000001</v>
      </c>
      <c r="V837" s="254">
        <v>0.11600000000000001</v>
      </c>
      <c r="W837" s="254">
        <v>0.108</v>
      </c>
      <c r="X837" s="254">
        <v>7.9000000000000001E-2</v>
      </c>
      <c r="Y837" s="254">
        <v>0.06</v>
      </c>
      <c r="Z837" s="254">
        <v>5.1999999999999998E-2</v>
      </c>
    </row>
    <row r="838" spans="13:26" x14ac:dyDescent="0.35">
      <c r="M838" s="250">
        <v>1849</v>
      </c>
      <c r="N838" s="251" t="str">
        <f t="shared" si="130"/>
        <v/>
      </c>
      <c r="O838" s="251" t="str">
        <f t="shared" si="131"/>
        <v/>
      </c>
      <c r="P838" s="251" t="str">
        <f t="shared" si="132"/>
        <v/>
      </c>
      <c r="Q838" s="251" t="str">
        <f t="shared" si="133"/>
        <v/>
      </c>
      <c r="R838" s="251" t="str">
        <f t="shared" si="134"/>
        <v/>
      </c>
      <c r="S838" s="252" t="str">
        <f t="shared" si="135"/>
        <v/>
      </c>
      <c r="T838" s="253"/>
      <c r="U838" s="254">
        <v>0.14299999999999999</v>
      </c>
      <c r="V838" s="254">
        <v>0.127</v>
      </c>
      <c r="W838" s="254">
        <v>0.11899999999999999</v>
      </c>
      <c r="X838" s="254">
        <v>9.1999999999999998E-2</v>
      </c>
      <c r="Y838" s="254">
        <v>7.3999999999999996E-2</v>
      </c>
      <c r="Z838" s="254">
        <v>6.6000000000000003E-2</v>
      </c>
    </row>
    <row r="839" spans="13:26" x14ac:dyDescent="0.35">
      <c r="M839" s="250">
        <v>1998</v>
      </c>
      <c r="N839" s="251" t="str">
        <f t="shared" si="130"/>
        <v/>
      </c>
      <c r="O839" s="251" t="str">
        <f t="shared" si="131"/>
        <v/>
      </c>
      <c r="P839" s="251" t="str">
        <f t="shared" si="132"/>
        <v/>
      </c>
      <c r="Q839" s="251" t="str">
        <f t="shared" si="133"/>
        <v/>
      </c>
      <c r="R839" s="251" t="str">
        <f t="shared" si="134"/>
        <v/>
      </c>
      <c r="S839" s="252" t="str">
        <f t="shared" si="135"/>
        <v/>
      </c>
      <c r="T839" s="253"/>
      <c r="U839" s="254">
        <v>0.153</v>
      </c>
      <c r="V839" s="254">
        <v>0.13600000000000001</v>
      </c>
      <c r="W839" s="254">
        <v>0.128</v>
      </c>
      <c r="X839" s="254">
        <v>0.10199999999999999</v>
      </c>
      <c r="Y839" s="254">
        <v>9.4E-2</v>
      </c>
      <c r="Z839" s="254">
        <v>7.5999999999999998E-2</v>
      </c>
    </row>
    <row r="840" spans="13:26" x14ac:dyDescent="0.35">
      <c r="M840" s="250">
        <v>2157</v>
      </c>
      <c r="N840" s="251" t="str">
        <f t="shared" si="130"/>
        <v/>
      </c>
      <c r="O840" s="251" t="str">
        <f t="shared" si="131"/>
        <v/>
      </c>
      <c r="P840" s="251" t="str">
        <f t="shared" si="132"/>
        <v/>
      </c>
      <c r="Q840" s="251" t="str">
        <f t="shared" si="133"/>
        <v/>
      </c>
      <c r="R840" s="251" t="str">
        <f t="shared" si="134"/>
        <v/>
      </c>
      <c r="S840" s="252" t="str">
        <f t="shared" si="135"/>
        <v/>
      </c>
      <c r="T840" s="253"/>
      <c r="U840" s="254">
        <v>0.16300000000000001</v>
      </c>
      <c r="V840" s="254">
        <v>0.14599999999999999</v>
      </c>
      <c r="W840" s="254">
        <v>0.13800000000000001</v>
      </c>
      <c r="X840" s="254">
        <v>0.111</v>
      </c>
      <c r="Y840" s="254">
        <v>0.104</v>
      </c>
      <c r="Z840" s="254">
        <v>8.6999999999999994E-2</v>
      </c>
    </row>
    <row r="841" spans="13:26" x14ac:dyDescent="0.35">
      <c r="M841" s="250">
        <v>2347</v>
      </c>
      <c r="N841" s="251" t="str">
        <f t="shared" si="130"/>
        <v/>
      </c>
      <c r="O841" s="251" t="str">
        <f t="shared" si="131"/>
        <v/>
      </c>
      <c r="P841" s="251" t="str">
        <f t="shared" si="132"/>
        <v/>
      </c>
      <c r="Q841" s="251" t="str">
        <f t="shared" si="133"/>
        <v/>
      </c>
      <c r="R841" s="251" t="str">
        <f t="shared" si="134"/>
        <v/>
      </c>
      <c r="S841" s="252" t="str">
        <f t="shared" si="135"/>
        <v/>
      </c>
      <c r="T841" s="253"/>
      <c r="U841" s="254">
        <v>0.17299999999999999</v>
      </c>
      <c r="V841" s="254">
        <v>0.16600000000000001</v>
      </c>
      <c r="W841" s="254">
        <v>0.14899999999999999</v>
      </c>
      <c r="X841" s="254">
        <v>0.121</v>
      </c>
      <c r="Y841" s="254">
        <v>0.113</v>
      </c>
      <c r="Z841" s="254">
        <v>9.7000000000000003E-2</v>
      </c>
    </row>
    <row r="842" spans="13:26" x14ac:dyDescent="0.35">
      <c r="M842" s="250">
        <v>2566</v>
      </c>
      <c r="N842" s="251" t="str">
        <f t="shared" si="130"/>
        <v/>
      </c>
      <c r="O842" s="251" t="str">
        <f t="shared" si="131"/>
        <v/>
      </c>
      <c r="P842" s="251" t="str">
        <f t="shared" si="132"/>
        <v/>
      </c>
      <c r="Q842" s="251" t="str">
        <f t="shared" si="133"/>
        <v/>
      </c>
      <c r="R842" s="251" t="str">
        <f t="shared" si="134"/>
        <v/>
      </c>
      <c r="S842" s="252" t="str">
        <f t="shared" si="135"/>
        <v/>
      </c>
      <c r="T842" s="253"/>
      <c r="U842" s="254">
        <v>0.182</v>
      </c>
      <c r="V842" s="254">
        <v>0.17599999999999999</v>
      </c>
      <c r="W842" s="254">
        <v>0.159</v>
      </c>
      <c r="X842" s="254">
        <v>0.14099999999999999</v>
      </c>
      <c r="Y842" s="254">
        <v>0.123</v>
      </c>
      <c r="Z842" s="254">
        <v>0.11600000000000001</v>
      </c>
    </row>
    <row r="843" spans="13:26" x14ac:dyDescent="0.35">
      <c r="M843" s="250">
        <v>2934</v>
      </c>
      <c r="N843" s="251" t="str">
        <f t="shared" si="130"/>
        <v/>
      </c>
      <c r="O843" s="251" t="str">
        <f t="shared" si="131"/>
        <v/>
      </c>
      <c r="P843" s="251" t="str">
        <f t="shared" si="132"/>
        <v/>
      </c>
      <c r="Q843" s="251" t="str">
        <f t="shared" si="133"/>
        <v/>
      </c>
      <c r="R843" s="251" t="str">
        <f t="shared" si="134"/>
        <v/>
      </c>
      <c r="S843" s="252" t="str">
        <f t="shared" si="135"/>
        <v/>
      </c>
      <c r="T843" s="253"/>
      <c r="U843" s="254">
        <v>0.193</v>
      </c>
      <c r="V843" s="254">
        <v>0.186</v>
      </c>
      <c r="W843" s="254">
        <v>0.16900000000000001</v>
      </c>
      <c r="X843" s="254">
        <v>0.151</v>
      </c>
      <c r="Y843" s="254">
        <v>0.13400000000000001</v>
      </c>
      <c r="Z843" s="254">
        <v>0.126</v>
      </c>
    </row>
    <row r="844" spans="13:26" x14ac:dyDescent="0.35">
      <c r="M844" s="250">
        <v>3356</v>
      </c>
      <c r="N844" s="251" t="str">
        <f t="shared" si="130"/>
        <v/>
      </c>
      <c r="O844" s="251" t="str">
        <f t="shared" si="131"/>
        <v/>
      </c>
      <c r="P844" s="251" t="str">
        <f t="shared" si="132"/>
        <v/>
      </c>
      <c r="Q844" s="251" t="str">
        <f t="shared" si="133"/>
        <v/>
      </c>
      <c r="R844" s="251" t="str">
        <f t="shared" si="134"/>
        <v/>
      </c>
      <c r="S844" s="252" t="str">
        <f t="shared" si="135"/>
        <v/>
      </c>
      <c r="T844" s="253"/>
      <c r="U844" s="254">
        <v>0.219</v>
      </c>
      <c r="V844" s="254">
        <v>0.218</v>
      </c>
      <c r="W844" s="254">
        <v>0.20200000000000001</v>
      </c>
      <c r="X844" s="254">
        <v>0.188</v>
      </c>
      <c r="Y844" s="254">
        <v>0.17399999999999999</v>
      </c>
      <c r="Z844" s="254">
        <v>0.17</v>
      </c>
    </row>
    <row r="845" spans="13:26" x14ac:dyDescent="0.35">
      <c r="M845" s="250">
        <v>3611</v>
      </c>
      <c r="N845" s="251" t="str">
        <f t="shared" si="130"/>
        <v/>
      </c>
      <c r="O845" s="251" t="str">
        <f t="shared" si="131"/>
        <v/>
      </c>
      <c r="P845" s="251" t="str">
        <f t="shared" si="132"/>
        <v/>
      </c>
      <c r="Q845" s="251" t="str">
        <f t="shared" si="133"/>
        <v/>
      </c>
      <c r="R845" s="251" t="str">
        <f t="shared" si="134"/>
        <v/>
      </c>
      <c r="S845" s="252" t="str">
        <f t="shared" si="135"/>
        <v/>
      </c>
      <c r="T845" s="253"/>
      <c r="U845" s="254">
        <v>0.22900000000000001</v>
      </c>
      <c r="V845" s="254">
        <v>0.22800000000000001</v>
      </c>
      <c r="W845" s="254">
        <v>0.214</v>
      </c>
      <c r="X845" s="254">
        <v>0.19800000000000001</v>
      </c>
      <c r="Y845" s="254">
        <v>0.19400000000000001</v>
      </c>
      <c r="Z845" s="254">
        <v>0.18</v>
      </c>
    </row>
    <row r="846" spans="13:26" x14ac:dyDescent="0.35">
      <c r="M846" s="250">
        <v>3882</v>
      </c>
      <c r="N846" s="251" t="str">
        <f t="shared" si="130"/>
        <v/>
      </c>
      <c r="O846" s="251" t="str">
        <f t="shared" si="131"/>
        <v/>
      </c>
      <c r="P846" s="251" t="str">
        <f t="shared" si="132"/>
        <v/>
      </c>
      <c r="Q846" s="251" t="str">
        <f t="shared" si="133"/>
        <v/>
      </c>
      <c r="R846" s="251" t="str">
        <f t="shared" si="134"/>
        <v/>
      </c>
      <c r="S846" s="252" t="str">
        <f t="shared" si="135"/>
        <v/>
      </c>
      <c r="T846" s="253"/>
      <c r="U846" s="254">
        <v>0.23899999999999999</v>
      </c>
      <c r="V846" s="254">
        <v>0.23799999999999999</v>
      </c>
      <c r="W846" s="254">
        <v>0.224</v>
      </c>
      <c r="X846" s="254">
        <v>0.21</v>
      </c>
      <c r="Y846" s="254">
        <v>0.20399999999999999</v>
      </c>
      <c r="Z846" s="254">
        <v>0.19</v>
      </c>
    </row>
    <row r="847" spans="13:26" x14ac:dyDescent="0.35">
      <c r="M847" s="250">
        <v>4210</v>
      </c>
      <c r="N847" s="251" t="str">
        <f t="shared" si="130"/>
        <v/>
      </c>
      <c r="O847" s="251" t="str">
        <f t="shared" si="131"/>
        <v/>
      </c>
      <c r="P847" s="251" t="str">
        <f t="shared" si="132"/>
        <v/>
      </c>
      <c r="Q847" s="251" t="str">
        <f t="shared" si="133"/>
        <v/>
      </c>
      <c r="R847" s="251" t="str">
        <f t="shared" si="134"/>
        <v/>
      </c>
      <c r="S847" s="252" t="str">
        <f t="shared" si="135"/>
        <v/>
      </c>
      <c r="T847" s="253"/>
      <c r="U847" s="254">
        <v>0.249</v>
      </c>
      <c r="V847" s="254">
        <v>0.248</v>
      </c>
      <c r="W847" s="254">
        <v>0.23400000000000001</v>
      </c>
      <c r="X847" s="254">
        <v>0.22</v>
      </c>
      <c r="Y847" s="254">
        <v>0.216</v>
      </c>
      <c r="Z847" s="254">
        <v>0.21</v>
      </c>
    </row>
    <row r="848" spans="13:26" x14ac:dyDescent="0.35">
      <c r="M848" s="250">
        <v>4604</v>
      </c>
      <c r="N848" s="251" t="str">
        <f t="shared" si="130"/>
        <v/>
      </c>
      <c r="O848" s="251" t="str">
        <f t="shared" si="131"/>
        <v/>
      </c>
      <c r="P848" s="251" t="str">
        <f t="shared" si="132"/>
        <v/>
      </c>
      <c r="Q848" s="251" t="str">
        <f t="shared" si="133"/>
        <v/>
      </c>
      <c r="R848" s="251" t="str">
        <f t="shared" si="134"/>
        <v/>
      </c>
      <c r="S848" s="252" t="str">
        <f t="shared" si="135"/>
        <v/>
      </c>
      <c r="T848" s="253"/>
      <c r="U848" s="254">
        <v>0.26400000000000001</v>
      </c>
      <c r="V848" s="254">
        <v>0.25800000000000001</v>
      </c>
      <c r="W848" s="254">
        <v>0.24399999999999999</v>
      </c>
      <c r="X848" s="254">
        <v>0.23</v>
      </c>
      <c r="Y848" s="254">
        <v>0.22600000000000001</v>
      </c>
      <c r="Z848" s="254">
        <v>0.222</v>
      </c>
    </row>
    <row r="849" spans="13:26" x14ac:dyDescent="0.35">
      <c r="M849" s="250">
        <v>5076</v>
      </c>
      <c r="N849" s="251" t="str">
        <f t="shared" si="130"/>
        <v/>
      </c>
      <c r="O849" s="251" t="str">
        <f t="shared" si="131"/>
        <v/>
      </c>
      <c r="P849" s="251" t="str">
        <f t="shared" si="132"/>
        <v/>
      </c>
      <c r="Q849" s="251" t="str">
        <f t="shared" si="133"/>
        <v/>
      </c>
      <c r="R849" s="251" t="str">
        <f t="shared" si="134"/>
        <v/>
      </c>
      <c r="S849" s="252" t="str">
        <f t="shared" si="135"/>
        <v/>
      </c>
      <c r="T849" s="253"/>
      <c r="U849" s="254">
        <v>0.27400000000000002</v>
      </c>
      <c r="V849" s="254">
        <v>0.26800000000000002</v>
      </c>
      <c r="W849" s="254">
        <v>0.26400000000000001</v>
      </c>
      <c r="X849" s="254">
        <v>0.24</v>
      </c>
      <c r="Y849" s="254">
        <v>0.23599999999999999</v>
      </c>
      <c r="Z849" s="254">
        <v>0.23200000000000001</v>
      </c>
    </row>
    <row r="850" spans="13:26" x14ac:dyDescent="0.35">
      <c r="M850" s="250">
        <v>5654</v>
      </c>
      <c r="N850" s="251" t="str">
        <f t="shared" si="130"/>
        <v/>
      </c>
      <c r="O850" s="251" t="str">
        <f t="shared" si="131"/>
        <v/>
      </c>
      <c r="P850" s="251" t="str">
        <f t="shared" si="132"/>
        <v/>
      </c>
      <c r="Q850" s="251" t="str">
        <f t="shared" si="133"/>
        <v/>
      </c>
      <c r="R850" s="251" t="str">
        <f t="shared" si="134"/>
        <v/>
      </c>
      <c r="S850" s="252" t="str">
        <f t="shared" si="135"/>
        <v/>
      </c>
      <c r="T850" s="253"/>
      <c r="U850" s="254">
        <v>0.28399999999999997</v>
      </c>
      <c r="V850" s="254">
        <v>0.27800000000000002</v>
      </c>
      <c r="W850" s="254">
        <v>0.27400000000000002</v>
      </c>
      <c r="X850" s="254">
        <v>0.25</v>
      </c>
      <c r="Y850" s="254">
        <v>0.246</v>
      </c>
      <c r="Z850" s="254">
        <v>0.24199999999999999</v>
      </c>
    </row>
    <row r="851" spans="13:26" x14ac:dyDescent="0.35">
      <c r="M851" s="250">
        <v>6381</v>
      </c>
      <c r="N851" s="251" t="str">
        <f t="shared" si="130"/>
        <v/>
      </c>
      <c r="O851" s="251" t="str">
        <f t="shared" si="131"/>
        <v/>
      </c>
      <c r="P851" s="251" t="str">
        <f t="shared" si="132"/>
        <v/>
      </c>
      <c r="Q851" s="251" t="str">
        <f t="shared" si="133"/>
        <v/>
      </c>
      <c r="R851" s="251" t="str">
        <f t="shared" si="134"/>
        <v/>
      </c>
      <c r="S851" s="252" t="str">
        <f t="shared" si="135"/>
        <v/>
      </c>
      <c r="T851" s="253"/>
      <c r="U851" s="254">
        <v>0.29399999999999998</v>
      </c>
      <c r="V851" s="254">
        <v>0.28799999999999998</v>
      </c>
      <c r="W851" s="254">
        <v>0.28399999999999997</v>
      </c>
      <c r="X851" s="254">
        <v>0.26</v>
      </c>
      <c r="Y851" s="254">
        <v>0.25600000000000001</v>
      </c>
      <c r="Z851" s="254">
        <v>0.252</v>
      </c>
    </row>
    <row r="852" spans="13:26" x14ac:dyDescent="0.35">
      <c r="M852" s="250">
        <v>7323</v>
      </c>
      <c r="N852" s="251" t="str">
        <f t="shared" si="130"/>
        <v/>
      </c>
      <c r="O852" s="251" t="str">
        <f t="shared" si="131"/>
        <v/>
      </c>
      <c r="P852" s="251" t="str">
        <f t="shared" si="132"/>
        <v/>
      </c>
      <c r="Q852" s="251" t="str">
        <f t="shared" si="133"/>
        <v/>
      </c>
      <c r="R852" s="251" t="str">
        <f t="shared" si="134"/>
        <v/>
      </c>
      <c r="S852" s="252" t="str">
        <f t="shared" si="135"/>
        <v/>
      </c>
      <c r="T852" s="253"/>
      <c r="U852" s="254">
        <v>0.30299999999999999</v>
      </c>
      <c r="V852" s="254">
        <v>0.30199999999999999</v>
      </c>
      <c r="W852" s="254">
        <v>0.29799999999999999</v>
      </c>
      <c r="X852" s="254">
        <v>0.27600000000000002</v>
      </c>
      <c r="Y852" s="254">
        <v>0.27400000000000002</v>
      </c>
      <c r="Z852" s="254">
        <v>0.27200000000000002</v>
      </c>
    </row>
    <row r="853" spans="13:26" x14ac:dyDescent="0.35">
      <c r="M853" s="250">
        <v>8441</v>
      </c>
      <c r="N853" s="251" t="str">
        <f t="shared" si="130"/>
        <v/>
      </c>
      <c r="O853" s="251" t="str">
        <f t="shared" si="131"/>
        <v/>
      </c>
      <c r="P853" s="251" t="str">
        <f t="shared" si="132"/>
        <v/>
      </c>
      <c r="Q853" s="251" t="str">
        <f t="shared" si="133"/>
        <v/>
      </c>
      <c r="R853" s="251" t="str">
        <f t="shared" si="134"/>
        <v/>
      </c>
      <c r="S853" s="252" t="str">
        <f t="shared" si="135"/>
        <v/>
      </c>
      <c r="T853" s="253"/>
      <c r="U853" s="254">
        <v>0.313</v>
      </c>
      <c r="V853" s="254">
        <v>0.312</v>
      </c>
      <c r="W853" s="254">
        <v>0.31</v>
      </c>
      <c r="X853" s="254">
        <v>0.29599999999999999</v>
      </c>
      <c r="Y853" s="254">
        <v>0.28399999999999997</v>
      </c>
      <c r="Z853" s="254">
        <v>0.28199999999999997</v>
      </c>
    </row>
    <row r="854" spans="13:26" x14ac:dyDescent="0.35">
      <c r="M854" s="250">
        <v>9336</v>
      </c>
      <c r="N854" s="251" t="str">
        <f t="shared" si="130"/>
        <v/>
      </c>
      <c r="O854" s="251" t="str">
        <f t="shared" si="131"/>
        <v/>
      </c>
      <c r="P854" s="251" t="str">
        <f t="shared" si="132"/>
        <v/>
      </c>
      <c r="Q854" s="251" t="str">
        <f t="shared" si="133"/>
        <v/>
      </c>
      <c r="R854" s="251" t="str">
        <f t="shared" si="134"/>
        <v/>
      </c>
      <c r="S854" s="252" t="str">
        <f t="shared" si="135"/>
        <v/>
      </c>
      <c r="T854" s="253"/>
      <c r="U854" s="254">
        <v>0.32800000000000001</v>
      </c>
      <c r="V854" s="254">
        <v>0.32700000000000001</v>
      </c>
      <c r="W854" s="254">
        <v>0.32500000000000001</v>
      </c>
      <c r="X854" s="254">
        <v>0.313</v>
      </c>
      <c r="Y854" s="254">
        <v>0.29899999999999999</v>
      </c>
      <c r="Z854" s="254">
        <v>0.29699999999999999</v>
      </c>
    </row>
    <row r="855" spans="13:26" x14ac:dyDescent="0.35">
      <c r="M855" s="250">
        <v>10448</v>
      </c>
      <c r="N855" s="251" t="str">
        <f>IF($R$11&lt;=M855,IF($R$11&gt;=M854+0.01,U855,""),"")</f>
        <v/>
      </c>
      <c r="O855" s="251" t="str">
        <f>IF($R$11&lt;=M855,IF($R$11&gt;=M854+0.01,V855,""),"")</f>
        <v/>
      </c>
      <c r="P855" s="251" t="str">
        <f>IF($R$11&lt;=M855,IF($R$11&gt;=M854+0.01,W855,""),"")</f>
        <v/>
      </c>
      <c r="Q855" s="251" t="str">
        <f>IF($R$11&lt;=M855,IF($R$11&gt;=M854+0.01,X855,""),"")</f>
        <v/>
      </c>
      <c r="R855" s="251" t="str">
        <f>IF($R$11&lt;=M855,IF($R$11&gt;=M854+0.01,Y855,""),"")</f>
        <v/>
      </c>
      <c r="S855" s="252" t="str">
        <f>IF($R$11&lt;=M855,IF($R$11&gt;=M854+0.01,Z855,""),"")</f>
        <v/>
      </c>
      <c r="T855" s="253"/>
      <c r="U855" s="254">
        <v>0.33800000000000002</v>
      </c>
      <c r="V855" s="254">
        <v>0.33700000000000002</v>
      </c>
      <c r="W855" s="254">
        <v>0.33500000000000002</v>
      </c>
      <c r="X855" s="254">
        <v>0.32300000000000001</v>
      </c>
      <c r="Y855" s="254">
        <v>0.32100000000000001</v>
      </c>
      <c r="Z855" s="254">
        <v>0.30599999999999999</v>
      </c>
    </row>
    <row r="856" spans="13:26" x14ac:dyDescent="0.35">
      <c r="M856" s="250">
        <v>14013</v>
      </c>
      <c r="N856" s="251" t="str">
        <f>IF($R$11&lt;=M856,IF($R$11&gt;=M855+0.01,U856,""),"")</f>
        <v/>
      </c>
      <c r="O856" s="251" t="str">
        <f>IF($R$11&lt;=M856,IF($R$11&gt;=M855+0.01,V856,""),"")</f>
        <v/>
      </c>
      <c r="P856" s="251" t="str">
        <f>IF($R$11&lt;=M856,IF($R$11&gt;=M855+0.01,W856,""),"")</f>
        <v/>
      </c>
      <c r="Q856" s="251" t="str">
        <f>IF($R$11&lt;=M856,IF($R$11&gt;=M855+0.01,X856,""),"")</f>
        <v/>
      </c>
      <c r="R856" s="251" t="str">
        <f>IF($R$11&lt;=M856,IF($R$11&gt;=M855+0.01,Y856,""),"")</f>
        <v/>
      </c>
      <c r="S856" s="252" t="str">
        <f>IF($R$11&lt;=M856,IF($R$11&gt;=M855+0.01,Z856,""),"")</f>
        <v/>
      </c>
      <c r="T856" s="253"/>
      <c r="U856" s="254">
        <v>0.35099999999999998</v>
      </c>
      <c r="V856" s="254">
        <v>0.35099999999999998</v>
      </c>
      <c r="W856" s="254">
        <v>0.34499999999999997</v>
      </c>
      <c r="X856" s="254">
        <v>0.33300000000000002</v>
      </c>
      <c r="Y856" s="254">
        <v>0.33100000000000002</v>
      </c>
      <c r="Z856" s="254">
        <v>0.31900000000000001</v>
      </c>
    </row>
    <row r="857" spans="13:26" x14ac:dyDescent="0.35">
      <c r="M857" s="250">
        <v>20118</v>
      </c>
      <c r="N857" s="251" t="str">
        <f>IF($R$11&lt;=M857,IF($R$11&gt;=M856+0.01,U857,""),"")</f>
        <v/>
      </c>
      <c r="O857" s="251" t="str">
        <f>IF($R$11&lt;=M857,IF($R$11&gt;=M856+0.01,V857,""),"")</f>
        <v/>
      </c>
      <c r="P857" s="251" t="str">
        <f>IF($R$11&lt;=M857,IF($R$11&gt;=M856+0.01,W857,""),"")</f>
        <v/>
      </c>
      <c r="Q857" s="251" t="str">
        <f>IF($R$11&lt;=M857,IF($R$11&gt;=M856+0.01,X857,""),"")</f>
        <v/>
      </c>
      <c r="R857" s="251" t="str">
        <f>IF($R$11&lt;=M857,IF($R$11&gt;=M856+0.01,Y857,""),"")</f>
        <v/>
      </c>
      <c r="S857" s="252" t="str">
        <f>IF($R$11&lt;=M857,IF($R$11&gt;=M856+0.01,Z857,""),"")</f>
        <v/>
      </c>
      <c r="T857" s="253"/>
      <c r="U857" s="254">
        <v>0.371</v>
      </c>
      <c r="V857" s="254">
        <v>0.371</v>
      </c>
      <c r="W857" s="254">
        <v>0.36899999999999999</v>
      </c>
      <c r="X857" s="254">
        <v>0.35199999999999998</v>
      </c>
      <c r="Y857" s="254">
        <v>0.35599999999999998</v>
      </c>
      <c r="Z857" s="254">
        <v>0.34399999999999997</v>
      </c>
    </row>
    <row r="858" spans="13:26" x14ac:dyDescent="0.35">
      <c r="M858" s="250">
        <v>22749</v>
      </c>
      <c r="N858" s="251" t="str">
        <f>IF($R$11&lt;=M858,IF($R$11&gt;=M857+0.01,U858,""),"")</f>
        <v/>
      </c>
      <c r="O858" s="251" t="str">
        <f>IF($R$11&lt;=M858,IF($R$11&gt;=M857+0.01,V858,""),"")</f>
        <v/>
      </c>
      <c r="P858" s="251" t="str">
        <f>IF($R$11&lt;=M858,IF($R$11&gt;=M857+0.01,W858,""),"")</f>
        <v/>
      </c>
      <c r="Q858" s="251" t="str">
        <f>IF($R$11&lt;=M858,IF($R$11&gt;=M857+0.01,X858,""),"")</f>
        <v/>
      </c>
      <c r="R858" s="251" t="str">
        <f>IF($R$11&lt;=M858,IF($R$11&gt;=M857+0.01,Y858,""),"")</f>
        <v/>
      </c>
      <c r="S858" s="252" t="str">
        <f>IF($R$11&lt;=M858,IF($R$11&gt;=M857+0.01,Z858,""),"")</f>
        <v/>
      </c>
      <c r="T858" s="253"/>
      <c r="U858" s="254">
        <v>0.38100000000000001</v>
      </c>
      <c r="V858" s="254">
        <v>0.38100000000000001</v>
      </c>
      <c r="W858" s="254">
        <v>0.379</v>
      </c>
      <c r="X858" s="254">
        <v>0.372</v>
      </c>
      <c r="Y858" s="254">
        <v>0.36599999999999999</v>
      </c>
      <c r="Z858" s="254">
        <v>0.35399999999999998</v>
      </c>
    </row>
    <row r="859" spans="13:26" x14ac:dyDescent="0.35">
      <c r="M859" s="250">
        <v>25276</v>
      </c>
      <c r="N859" s="251" t="str">
        <f t="shared" si="130"/>
        <v/>
      </c>
      <c r="O859" s="251" t="str">
        <f t="shared" si="131"/>
        <v/>
      </c>
      <c r="P859" s="251" t="str">
        <f t="shared" si="132"/>
        <v/>
      </c>
      <c r="Q859" s="251" t="str">
        <f t="shared" si="133"/>
        <v/>
      </c>
      <c r="R859" s="251" t="str">
        <f t="shared" si="134"/>
        <v/>
      </c>
      <c r="S859" s="252" t="str">
        <f t="shared" si="135"/>
        <v/>
      </c>
      <c r="T859" s="253"/>
      <c r="U859" s="254">
        <v>0.39100000000000001</v>
      </c>
      <c r="V859" s="254">
        <v>0.39100000000000001</v>
      </c>
      <c r="W859" s="254">
        <v>0.38900000000000001</v>
      </c>
      <c r="X859" s="254">
        <v>0.38200000000000001</v>
      </c>
      <c r="Y859" s="254">
        <v>0.38</v>
      </c>
      <c r="Z859" s="254">
        <v>0.36399999999999999</v>
      </c>
    </row>
    <row r="860" spans="13:26" x14ac:dyDescent="0.35">
      <c r="M860" s="250">
        <v>28309</v>
      </c>
      <c r="N860" s="251" t="str">
        <f t="shared" si="130"/>
        <v/>
      </c>
      <c r="O860" s="251" t="str">
        <f t="shared" si="131"/>
        <v/>
      </c>
      <c r="P860" s="251" t="str">
        <f t="shared" si="132"/>
        <v/>
      </c>
      <c r="Q860" s="251" t="str">
        <f t="shared" si="133"/>
        <v/>
      </c>
      <c r="R860" s="251" t="str">
        <f t="shared" si="134"/>
        <v/>
      </c>
      <c r="S860" s="252" t="str">
        <f t="shared" si="135"/>
        <v/>
      </c>
      <c r="T860" s="253"/>
      <c r="U860" s="254">
        <v>0.40100000000000002</v>
      </c>
      <c r="V860" s="254">
        <v>0.40100000000000002</v>
      </c>
      <c r="W860" s="254">
        <v>0.39900000000000002</v>
      </c>
      <c r="X860" s="254">
        <v>0.39200000000000002</v>
      </c>
      <c r="Y860" s="254">
        <v>0.39</v>
      </c>
      <c r="Z860" s="254">
        <v>0.378</v>
      </c>
    </row>
    <row r="861" spans="13:26" x14ac:dyDescent="0.35">
      <c r="M861" s="250">
        <v>28309</v>
      </c>
      <c r="N861" s="251" t="str">
        <f>IF($R$11&gt;=M860+0.01,U861,"")</f>
        <v/>
      </c>
      <c r="O861" s="251" t="str">
        <f>IF($R$11&gt;=M860,V861,"")</f>
        <v/>
      </c>
      <c r="P861" s="251" t="str">
        <f>IF($R$11&gt;=M860,W861,"")</f>
        <v/>
      </c>
      <c r="Q861" s="251" t="str">
        <f>IF($R$11&gt;=M860,X861,"")</f>
        <v/>
      </c>
      <c r="R861" s="252" t="str">
        <f>IF($R$11&gt;=M860,Y861,"")</f>
        <v/>
      </c>
      <c r="S861" s="251" t="str">
        <f>IF($R$11&gt;=M860,Z861,"")</f>
        <v/>
      </c>
      <c r="T861" s="253"/>
      <c r="U861" s="254">
        <v>0.41099999999999998</v>
      </c>
      <c r="V861" s="254">
        <v>0.41099999999999998</v>
      </c>
      <c r="W861" s="254">
        <v>0.40899999999999997</v>
      </c>
      <c r="X861" s="254">
        <v>0.40200000000000002</v>
      </c>
      <c r="Y861" s="254">
        <v>0.4</v>
      </c>
      <c r="Z861" s="254">
        <v>0.38800000000000001</v>
      </c>
    </row>
    <row r="862" spans="13:26" x14ac:dyDescent="0.35">
      <c r="M862" s="249"/>
      <c r="N862" s="257" t="str">
        <f>IF($A$15=1,IF($A$2=8,IF($I$2=0,SUM(N825:N861),""),""),"")</f>
        <v/>
      </c>
      <c r="O862" s="258" t="str">
        <f>IF($A$15=1,IF($A$2=8,IF($I$2=1,SUM(O825:O861),""),""),"")</f>
        <v/>
      </c>
      <c r="P862" s="258" t="str">
        <f>IF($A$15=1,IF($A$2=8,IF($I$2=2,SUM(P825:P861),""),""),"")</f>
        <v/>
      </c>
      <c r="Q862" s="258" t="str">
        <f>IF($A$15=1,IF($A$2=8,IF($I$2=3,SUM(Q825:Q861),""),""),"")</f>
        <v/>
      </c>
      <c r="R862" s="258" t="str">
        <f>IF($A$15=1,IF($A$2=8,IF($I$2=4,SUM(R825:R861),""),""),"")</f>
        <v/>
      </c>
      <c r="S862" s="259" t="str">
        <f>IF($A$15=1,IF($A$2=8,IF($I$2=5,SUM(S825:S861),""),""),"")</f>
        <v/>
      </c>
      <c r="T862" s="260">
        <f>SUM(N862:S862)</f>
        <v>0</v>
      </c>
      <c r="U862" s="253"/>
      <c r="V862" s="253"/>
      <c r="W862" s="253"/>
      <c r="X862" s="253"/>
      <c r="Y862" s="253"/>
      <c r="Z862" s="253"/>
    </row>
    <row r="863" spans="13:26" x14ac:dyDescent="0.35">
      <c r="M863" s="249"/>
      <c r="N863" s="249"/>
      <c r="O863" s="249"/>
      <c r="P863" s="261"/>
      <c r="Q863" s="261"/>
      <c r="R863" s="261"/>
      <c r="S863" s="249"/>
      <c r="T863" s="253"/>
      <c r="U863" s="253"/>
      <c r="V863" s="253"/>
      <c r="W863" s="253"/>
      <c r="X863" s="253"/>
      <c r="Y863" s="253"/>
      <c r="Z863" s="253"/>
    </row>
    <row r="864" spans="13:26" x14ac:dyDescent="0.35">
      <c r="M864" s="262"/>
      <c r="N864" s="249"/>
      <c r="O864" s="249"/>
      <c r="P864" s="249"/>
      <c r="Q864" s="249"/>
      <c r="R864" s="249"/>
      <c r="S864" s="249"/>
      <c r="T864" s="253"/>
      <c r="U864" s="253"/>
      <c r="V864" s="253"/>
      <c r="W864" s="253"/>
      <c r="X864" s="253"/>
      <c r="Y864" s="253"/>
      <c r="Z864" s="253"/>
    </row>
    <row r="865" spans="13:26" x14ac:dyDescent="0.35">
      <c r="M865" s="249"/>
      <c r="N865" s="249"/>
      <c r="O865" s="249"/>
      <c r="P865" s="249"/>
      <c r="Q865" s="249"/>
      <c r="R865" s="249"/>
      <c r="S865" s="249"/>
      <c r="T865" s="253"/>
      <c r="U865" s="253"/>
      <c r="V865" s="253"/>
      <c r="W865" s="253"/>
      <c r="X865" s="253"/>
      <c r="Y865" s="253"/>
      <c r="Z865" s="253"/>
    </row>
    <row r="866" spans="13:26" x14ac:dyDescent="0.35">
      <c r="M866" s="263" t="s">
        <v>213</v>
      </c>
      <c r="N866" s="264"/>
      <c r="O866" s="263" t="s">
        <v>148</v>
      </c>
      <c r="P866" s="264"/>
      <c r="Q866" s="264"/>
      <c r="R866" s="264"/>
      <c r="S866" s="249"/>
      <c r="T866" s="253"/>
      <c r="U866" s="265" t="str">
        <f>O866</f>
        <v>Tabelas de IRS de retenção na fonte referente a 2018 no Continente</v>
      </c>
      <c r="V866" s="253"/>
      <c r="W866" s="253"/>
      <c r="X866" s="253"/>
      <c r="Y866" s="253"/>
      <c r="Z866" s="253"/>
    </row>
    <row r="867" spans="13:26" x14ac:dyDescent="0.35">
      <c r="M867" s="249"/>
      <c r="N867" s="293" t="s">
        <v>200</v>
      </c>
      <c r="O867" s="249"/>
      <c r="P867" s="249"/>
      <c r="Q867" s="264"/>
      <c r="R867" s="264"/>
      <c r="S867" s="249"/>
      <c r="T867" s="253"/>
      <c r="U867" s="265" t="str">
        <f>N867</f>
        <v>T A B E L A  XII - TRABALHO DEPENDENTE ARTIGO 29.º DA LEI DO ORÇAMENTO DO ESTADO PARA 2018</v>
      </c>
      <c r="V867" s="253"/>
      <c r="W867" s="253"/>
      <c r="X867" s="253"/>
      <c r="Y867" s="253"/>
      <c r="Z867" s="253"/>
    </row>
    <row r="868" spans="13:26" x14ac:dyDescent="0.35">
      <c r="M868" s="266"/>
      <c r="N868" s="264"/>
      <c r="O868" s="263" t="s">
        <v>180</v>
      </c>
      <c r="P868" s="249"/>
      <c r="Q868" s="264"/>
      <c r="R868" s="264"/>
      <c r="S868" s="249"/>
      <c r="T868" s="253"/>
      <c r="U868" s="265" t="str">
        <f>O868</f>
        <v>CASADO DOIS TITULARES</v>
      </c>
      <c r="V868" s="253"/>
      <c r="W868" s="253"/>
      <c r="X868" s="253"/>
      <c r="Y868" s="253"/>
      <c r="Z868" s="253"/>
    </row>
    <row r="869" spans="13:26" x14ac:dyDescent="0.35">
      <c r="M869" s="267" t="s">
        <v>154</v>
      </c>
      <c r="N869" s="268" t="s">
        <v>155</v>
      </c>
      <c r="O869" s="268" t="s">
        <v>156</v>
      </c>
      <c r="P869" s="268" t="s">
        <v>157</v>
      </c>
      <c r="Q869" s="268" t="s">
        <v>158</v>
      </c>
      <c r="R869" s="268" t="s">
        <v>159</v>
      </c>
      <c r="S869" s="268" t="s">
        <v>160</v>
      </c>
      <c r="T869" s="253"/>
      <c r="U869" s="269" t="str">
        <f t="shared" ref="U869:Z869" si="136">N869</f>
        <v>0 dep</v>
      </c>
      <c r="V869" s="269" t="str">
        <f t="shared" si="136"/>
        <v>1 dep</v>
      </c>
      <c r="W869" s="269" t="str">
        <f t="shared" si="136"/>
        <v>2 dep</v>
      </c>
      <c r="X869" s="269" t="str">
        <f t="shared" si="136"/>
        <v>3 dep</v>
      </c>
      <c r="Y869" s="269" t="str">
        <f t="shared" si="136"/>
        <v>4 dep</v>
      </c>
      <c r="Z869" s="269" t="str">
        <f t="shared" si="136"/>
        <v>5 dep. ou +</v>
      </c>
    </row>
    <row r="870" spans="13:26" x14ac:dyDescent="0.35">
      <c r="M870" s="250">
        <v>659</v>
      </c>
      <c r="N870" s="251" t="str">
        <f>IF($R$11&lt;=M870,IF($R$11&gt;=0,0,""),"")</f>
        <v/>
      </c>
      <c r="O870" s="251" t="str">
        <f>IF($R$11&lt;=M870,IF($R$11&gt;=0,0,""),"")</f>
        <v/>
      </c>
      <c r="P870" s="251" t="str">
        <f>IF($R$11&lt;=M870,IF($R$11&gt;=0,0,""),"")</f>
        <v/>
      </c>
      <c r="Q870" s="251" t="str">
        <f>IF($R$11&lt;=M870,IF($R$11&gt;=0,0,""),"")</f>
        <v/>
      </c>
      <c r="R870" s="251" t="str">
        <f>IF($R$11&lt;=M870,IF($R$11&gt;=0,0,""),"")</f>
        <v/>
      </c>
      <c r="S870" s="251" t="str">
        <f>IF($R$11&lt;=M870,IF($R$11&gt;=0,0,""),"")</f>
        <v/>
      </c>
      <c r="T870" s="253"/>
      <c r="U870" s="254">
        <v>0</v>
      </c>
      <c r="V870" s="254">
        <v>0</v>
      </c>
      <c r="W870" s="254">
        <v>0</v>
      </c>
      <c r="X870" s="254">
        <v>0</v>
      </c>
      <c r="Y870" s="254">
        <v>0</v>
      </c>
      <c r="Z870" s="254">
        <v>0</v>
      </c>
    </row>
    <row r="871" spans="13:26" x14ac:dyDescent="0.35">
      <c r="M871" s="250">
        <v>686</v>
      </c>
      <c r="N871" s="251" t="str">
        <f t="shared" ref="N871:N906" si="137">IF($R$11&lt;=M871,IF($R$11&gt;=M870+0.01,U871,""),"")</f>
        <v/>
      </c>
      <c r="O871" s="251" t="str">
        <f t="shared" ref="O871:O906" si="138">IF($R$11&lt;=M871,IF($R$11&gt;=M870+0.01,V871,""),"")</f>
        <v/>
      </c>
      <c r="P871" s="251" t="str">
        <f t="shared" ref="P871:P906" si="139">IF($R$11&lt;=M871,IF($R$11&gt;=M870+0.01,W871,""),"")</f>
        <v/>
      </c>
      <c r="Q871" s="251" t="str">
        <f t="shared" ref="Q871:Q906" si="140">IF($R$11&lt;=M871,IF($R$11&gt;=M870+0.01,X871,""),"")</f>
        <v/>
      </c>
      <c r="R871" s="251" t="str">
        <f t="shared" ref="R871:R906" si="141">IF($R$11&lt;=M871,IF($R$11&gt;=M870+0.01,Y871,""),"")</f>
        <v/>
      </c>
      <c r="S871" s="252" t="str">
        <f t="shared" ref="S871:S906" si="142">IF($R$11&lt;=M871,IF($R$11&gt;=M870+0.01,Z871,""),"")</f>
        <v/>
      </c>
      <c r="T871" s="253"/>
      <c r="U871" s="254">
        <v>1E-3</v>
      </c>
      <c r="V871" s="254">
        <v>0</v>
      </c>
      <c r="W871" s="254">
        <v>0</v>
      </c>
      <c r="X871" s="254">
        <v>0</v>
      </c>
      <c r="Y871" s="254">
        <v>0</v>
      </c>
      <c r="Z871" s="254">
        <v>0</v>
      </c>
    </row>
    <row r="872" spans="13:26" x14ac:dyDescent="0.35">
      <c r="M872" s="250">
        <v>718</v>
      </c>
      <c r="N872" s="251" t="str">
        <f t="shared" si="137"/>
        <v/>
      </c>
      <c r="O872" s="251" t="str">
        <f t="shared" si="138"/>
        <v/>
      </c>
      <c r="P872" s="251" t="str">
        <f t="shared" si="139"/>
        <v/>
      </c>
      <c r="Q872" s="251" t="str">
        <f t="shared" si="140"/>
        <v/>
      </c>
      <c r="R872" s="251" t="str">
        <f t="shared" si="141"/>
        <v/>
      </c>
      <c r="S872" s="252" t="str">
        <f t="shared" si="142"/>
        <v/>
      </c>
      <c r="T872" s="253"/>
      <c r="U872" s="254">
        <v>4.2000000000000003E-2</v>
      </c>
      <c r="V872" s="254">
        <v>1.2999999999999999E-2</v>
      </c>
      <c r="W872" s="254">
        <v>8.9999999999999993E-3</v>
      </c>
      <c r="X872" s="254">
        <v>4.0000000000000001E-3</v>
      </c>
      <c r="Y872" s="254">
        <v>0</v>
      </c>
      <c r="Z872" s="254">
        <v>0</v>
      </c>
    </row>
    <row r="873" spans="13:26" x14ac:dyDescent="0.35">
      <c r="M873" s="250">
        <v>739</v>
      </c>
      <c r="N873" s="251" t="str">
        <f t="shared" si="137"/>
        <v/>
      </c>
      <c r="O873" s="251" t="str">
        <f t="shared" si="138"/>
        <v/>
      </c>
      <c r="P873" s="251" t="str">
        <f t="shared" si="139"/>
        <v/>
      </c>
      <c r="Q873" s="251" t="str">
        <f t="shared" si="140"/>
        <v/>
      </c>
      <c r="R873" s="251" t="str">
        <f t="shared" si="141"/>
        <v/>
      </c>
      <c r="S873" s="252" t="str">
        <f t="shared" si="142"/>
        <v/>
      </c>
      <c r="T873" s="253"/>
      <c r="U873" s="254">
        <v>7.2999999999999995E-2</v>
      </c>
      <c r="V873" s="254">
        <v>4.3999999999999997E-2</v>
      </c>
      <c r="W873" s="254">
        <v>2.5999999999999999E-2</v>
      </c>
      <c r="X873" s="254">
        <v>7.0000000000000001E-3</v>
      </c>
      <c r="Y873" s="254">
        <v>0</v>
      </c>
      <c r="Z873" s="254">
        <v>0</v>
      </c>
    </row>
    <row r="874" spans="13:26" x14ac:dyDescent="0.35">
      <c r="M874" s="250">
        <v>814</v>
      </c>
      <c r="N874" s="251" t="str">
        <f t="shared" si="137"/>
        <v/>
      </c>
      <c r="O874" s="251" t="str">
        <f t="shared" si="138"/>
        <v/>
      </c>
      <c r="P874" s="251" t="str">
        <f t="shared" si="139"/>
        <v/>
      </c>
      <c r="Q874" s="251" t="str">
        <f t="shared" si="140"/>
        <v/>
      </c>
      <c r="R874" s="251" t="str">
        <f t="shared" si="141"/>
        <v/>
      </c>
      <c r="S874" s="252" t="str">
        <f t="shared" si="142"/>
        <v/>
      </c>
      <c r="T874" s="253"/>
      <c r="U874" s="254">
        <v>8.2000000000000003E-2</v>
      </c>
      <c r="V874" s="254">
        <v>5.2999999999999999E-2</v>
      </c>
      <c r="W874" s="254">
        <v>3.5000000000000003E-2</v>
      </c>
      <c r="X874" s="254">
        <v>2.5999999999999999E-2</v>
      </c>
      <c r="Y874" s="254">
        <v>7.0000000000000001E-3</v>
      </c>
      <c r="Z874" s="254">
        <v>0</v>
      </c>
    </row>
    <row r="875" spans="13:26" x14ac:dyDescent="0.35">
      <c r="M875" s="250">
        <v>922</v>
      </c>
      <c r="N875" s="251" t="str">
        <f t="shared" si="137"/>
        <v/>
      </c>
      <c r="O875" s="251" t="str">
        <f t="shared" si="138"/>
        <v/>
      </c>
      <c r="P875" s="251" t="str">
        <f t="shared" si="139"/>
        <v/>
      </c>
      <c r="Q875" s="251" t="str">
        <f t="shared" si="140"/>
        <v/>
      </c>
      <c r="R875" s="251" t="str">
        <f t="shared" si="141"/>
        <v/>
      </c>
      <c r="S875" s="252" t="str">
        <f t="shared" si="142"/>
        <v/>
      </c>
      <c r="T875" s="253"/>
      <c r="U875" s="254">
        <v>0.104</v>
      </c>
      <c r="V875" s="254">
        <v>7.5999999999999998E-2</v>
      </c>
      <c r="W875" s="254">
        <v>6.7000000000000004E-2</v>
      </c>
      <c r="X875" s="254">
        <v>3.9E-2</v>
      </c>
      <c r="Y875" s="254">
        <v>3.2000000000000001E-2</v>
      </c>
      <c r="Z875" s="254">
        <v>1.2999999999999999E-2</v>
      </c>
    </row>
    <row r="876" spans="13:26" x14ac:dyDescent="0.35">
      <c r="M876" s="250">
        <v>1005</v>
      </c>
      <c r="N876" s="251" t="str">
        <f t="shared" si="137"/>
        <v/>
      </c>
      <c r="O876" s="251" t="str">
        <f t="shared" si="138"/>
        <v/>
      </c>
      <c r="P876" s="251" t="str">
        <f t="shared" si="139"/>
        <v/>
      </c>
      <c r="Q876" s="251" t="str">
        <f t="shared" si="140"/>
        <v/>
      </c>
      <c r="R876" s="251" t="str">
        <f t="shared" si="141"/>
        <v/>
      </c>
      <c r="S876" s="252" t="str">
        <f t="shared" si="142"/>
        <v/>
      </c>
      <c r="T876" s="253"/>
      <c r="U876" s="254">
        <v>0.11600000000000001</v>
      </c>
      <c r="V876" s="254">
        <v>8.8999999999999996E-2</v>
      </c>
      <c r="W876" s="254">
        <v>8.1000000000000003E-2</v>
      </c>
      <c r="X876" s="254">
        <v>5.2999999999999999E-2</v>
      </c>
      <c r="Y876" s="254">
        <v>4.4999999999999998E-2</v>
      </c>
      <c r="Z876" s="254">
        <v>3.2000000000000001E-2</v>
      </c>
    </row>
    <row r="877" spans="13:26" x14ac:dyDescent="0.35">
      <c r="M877" s="250">
        <v>1065</v>
      </c>
      <c r="N877" s="251" t="str">
        <f t="shared" si="137"/>
        <v/>
      </c>
      <c r="O877" s="251" t="str">
        <f t="shared" si="138"/>
        <v/>
      </c>
      <c r="P877" s="251" t="str">
        <f t="shared" si="139"/>
        <v/>
      </c>
      <c r="Q877" s="251" t="str">
        <f t="shared" si="140"/>
        <v/>
      </c>
      <c r="R877" s="251" t="str">
        <f t="shared" si="141"/>
        <v/>
      </c>
      <c r="S877" s="252" t="str">
        <f t="shared" si="142"/>
        <v/>
      </c>
      <c r="T877" s="253"/>
      <c r="U877" s="254">
        <v>0.124</v>
      </c>
      <c r="V877" s="254">
        <v>9.8000000000000004E-2</v>
      </c>
      <c r="W877" s="254">
        <v>8.8999999999999996E-2</v>
      </c>
      <c r="X877" s="254">
        <v>6.2E-2</v>
      </c>
      <c r="Y877" s="254">
        <v>4.9000000000000002E-2</v>
      </c>
      <c r="Z877" s="254">
        <v>0.04</v>
      </c>
    </row>
    <row r="878" spans="13:26" x14ac:dyDescent="0.35">
      <c r="M878" s="250">
        <v>1143</v>
      </c>
      <c r="N878" s="251" t="str">
        <f t="shared" si="137"/>
        <v/>
      </c>
      <c r="O878" s="251" t="str">
        <f t="shared" si="138"/>
        <v/>
      </c>
      <c r="P878" s="251" t="str">
        <f t="shared" si="139"/>
        <v/>
      </c>
      <c r="Q878" s="251" t="str">
        <f t="shared" si="140"/>
        <v/>
      </c>
      <c r="R878" s="251" t="str">
        <f t="shared" si="141"/>
        <v/>
      </c>
      <c r="S878" s="252" t="str">
        <f t="shared" si="142"/>
        <v/>
      </c>
      <c r="T878" s="253"/>
      <c r="U878" s="254">
        <v>0.13500000000000001</v>
      </c>
      <c r="V878" s="254">
        <v>0.11700000000000001</v>
      </c>
      <c r="W878" s="254">
        <v>0.109</v>
      </c>
      <c r="X878" s="254">
        <v>8.2000000000000003E-2</v>
      </c>
      <c r="Y878" s="254">
        <v>7.2999999999999995E-2</v>
      </c>
      <c r="Z878" s="254">
        <v>5.5E-2</v>
      </c>
    </row>
    <row r="879" spans="13:26" x14ac:dyDescent="0.35">
      <c r="M879" s="250">
        <v>1225</v>
      </c>
      <c r="N879" s="251" t="str">
        <f t="shared" si="137"/>
        <v/>
      </c>
      <c r="O879" s="251" t="str">
        <f t="shared" si="138"/>
        <v/>
      </c>
      <c r="P879" s="251" t="str">
        <f t="shared" si="139"/>
        <v/>
      </c>
      <c r="Q879" s="251" t="str">
        <f t="shared" si="140"/>
        <v/>
      </c>
      <c r="R879" s="251" t="str">
        <f t="shared" si="141"/>
        <v/>
      </c>
      <c r="S879" s="252" t="str">
        <f t="shared" si="142"/>
        <v/>
      </c>
      <c r="T879" s="253"/>
      <c r="U879" s="254">
        <v>0.14499999999999999</v>
      </c>
      <c r="V879" s="254">
        <v>0.128</v>
      </c>
      <c r="W879" s="254">
        <v>0.11799999999999999</v>
      </c>
      <c r="X879" s="254">
        <v>9.1999999999999998E-2</v>
      </c>
      <c r="Y879" s="254">
        <v>8.3000000000000004E-2</v>
      </c>
      <c r="Z879" s="254">
        <v>6.5000000000000002E-2</v>
      </c>
    </row>
    <row r="880" spans="13:26" x14ac:dyDescent="0.35">
      <c r="M880" s="250">
        <v>1321</v>
      </c>
      <c r="N880" s="251" t="str">
        <f t="shared" si="137"/>
        <v/>
      </c>
      <c r="O880" s="251" t="str">
        <f t="shared" si="138"/>
        <v/>
      </c>
      <c r="P880" s="251" t="str">
        <f t="shared" si="139"/>
        <v/>
      </c>
      <c r="Q880" s="251" t="str">
        <f t="shared" si="140"/>
        <v/>
      </c>
      <c r="R880" s="251" t="str">
        <f t="shared" si="141"/>
        <v/>
      </c>
      <c r="S880" s="252" t="str">
        <f t="shared" si="142"/>
        <v/>
      </c>
      <c r="T880" s="253"/>
      <c r="U880" s="254">
        <v>0.156</v>
      </c>
      <c r="V880" s="254">
        <v>0.14799999999999999</v>
      </c>
      <c r="W880" s="254">
        <v>0.13</v>
      </c>
      <c r="X880" s="254">
        <v>0.11</v>
      </c>
      <c r="Y880" s="254">
        <v>9.2999999999999999E-2</v>
      </c>
      <c r="Z880" s="254">
        <v>8.4000000000000005E-2</v>
      </c>
    </row>
    <row r="881" spans="13:26" x14ac:dyDescent="0.35">
      <c r="M881" s="250">
        <v>1424</v>
      </c>
      <c r="N881" s="251" t="str">
        <f t="shared" si="137"/>
        <v/>
      </c>
      <c r="O881" s="251" t="str">
        <f t="shared" si="138"/>
        <v/>
      </c>
      <c r="P881" s="251" t="str">
        <f t="shared" si="139"/>
        <v/>
      </c>
      <c r="Q881" s="251" t="str">
        <f t="shared" si="140"/>
        <v/>
      </c>
      <c r="R881" s="251" t="str">
        <f t="shared" si="141"/>
        <v/>
      </c>
      <c r="S881" s="252" t="str">
        <f t="shared" si="142"/>
        <v/>
      </c>
      <c r="T881" s="253"/>
      <c r="U881" s="254">
        <v>0.16600000000000001</v>
      </c>
      <c r="V881" s="254">
        <v>0.158</v>
      </c>
      <c r="W881" s="254">
        <v>0.14000000000000001</v>
      </c>
      <c r="X881" s="254">
        <v>0.122</v>
      </c>
      <c r="Y881" s="254">
        <v>0.10299999999999999</v>
      </c>
      <c r="Z881" s="254">
        <v>9.5000000000000001E-2</v>
      </c>
    </row>
    <row r="882" spans="13:26" x14ac:dyDescent="0.35">
      <c r="M882" s="250">
        <v>1562</v>
      </c>
      <c r="N882" s="251" t="str">
        <f t="shared" si="137"/>
        <v/>
      </c>
      <c r="O882" s="251" t="str">
        <f t="shared" si="138"/>
        <v/>
      </c>
      <c r="P882" s="251" t="str">
        <f t="shared" si="139"/>
        <v/>
      </c>
      <c r="Q882" s="251" t="str">
        <f t="shared" si="140"/>
        <v/>
      </c>
      <c r="R882" s="251" t="str">
        <f t="shared" si="141"/>
        <v/>
      </c>
      <c r="S882" s="252" t="str">
        <f t="shared" si="142"/>
        <v/>
      </c>
      <c r="T882" s="253"/>
      <c r="U882" s="254">
        <v>0.17699999999999999</v>
      </c>
      <c r="V882" s="254">
        <v>0.16900000000000001</v>
      </c>
      <c r="W882" s="254">
        <v>0.15</v>
      </c>
      <c r="X882" s="254">
        <v>0.13200000000000001</v>
      </c>
      <c r="Y882" s="254">
        <v>0.114</v>
      </c>
      <c r="Z882" s="254">
        <v>0.105</v>
      </c>
    </row>
    <row r="883" spans="13:26" x14ac:dyDescent="0.35">
      <c r="M883" s="250">
        <v>1711</v>
      </c>
      <c r="N883" s="251">
        <f t="shared" si="137"/>
        <v>0.191</v>
      </c>
      <c r="O883" s="251">
        <f t="shared" si="138"/>
        <v>0.183</v>
      </c>
      <c r="P883" s="251">
        <f t="shared" si="139"/>
        <v>0.16600000000000001</v>
      </c>
      <c r="Q883" s="251">
        <f t="shared" si="140"/>
        <v>0.14699999999999999</v>
      </c>
      <c r="R883" s="251">
        <f t="shared" si="141"/>
        <v>0.13800000000000001</v>
      </c>
      <c r="S883" s="252">
        <f t="shared" si="142"/>
        <v>0.12</v>
      </c>
      <c r="T883" s="253"/>
      <c r="U883" s="254">
        <v>0.191</v>
      </c>
      <c r="V883" s="254">
        <v>0.183</v>
      </c>
      <c r="W883" s="254">
        <v>0.16600000000000001</v>
      </c>
      <c r="X883" s="254">
        <v>0.14699999999999999</v>
      </c>
      <c r="Y883" s="254">
        <v>0.13800000000000001</v>
      </c>
      <c r="Z883" s="254">
        <v>0.12</v>
      </c>
    </row>
    <row r="884" spans="13:26" x14ac:dyDescent="0.35">
      <c r="M884" s="250">
        <v>1870</v>
      </c>
      <c r="N884" s="251" t="str">
        <f t="shared" si="137"/>
        <v/>
      </c>
      <c r="O884" s="251" t="str">
        <f t="shared" si="138"/>
        <v/>
      </c>
      <c r="P884" s="251" t="str">
        <f t="shared" si="139"/>
        <v/>
      </c>
      <c r="Q884" s="251" t="str">
        <f t="shared" si="140"/>
        <v/>
      </c>
      <c r="R884" s="251" t="str">
        <f t="shared" si="141"/>
        <v/>
      </c>
      <c r="S884" s="252" t="str">
        <f t="shared" si="142"/>
        <v/>
      </c>
      <c r="T884" s="253"/>
      <c r="U884" s="254">
        <v>0.20499999999999999</v>
      </c>
      <c r="V884" s="254">
        <v>0.19900000000000001</v>
      </c>
      <c r="W884" s="254">
        <v>0.182</v>
      </c>
      <c r="X884" s="254">
        <v>0.16500000000000001</v>
      </c>
      <c r="Y884" s="254">
        <v>0.157</v>
      </c>
      <c r="Z884" s="254">
        <v>0.13900000000000001</v>
      </c>
    </row>
    <row r="885" spans="13:26" x14ac:dyDescent="0.35">
      <c r="M885" s="250">
        <v>1977</v>
      </c>
      <c r="N885" s="251" t="str">
        <f t="shared" si="137"/>
        <v/>
      </c>
      <c r="O885" s="251" t="str">
        <f t="shared" si="138"/>
        <v/>
      </c>
      <c r="P885" s="251" t="str">
        <f t="shared" si="139"/>
        <v/>
      </c>
      <c r="Q885" s="251" t="str">
        <f t="shared" si="140"/>
        <v/>
      </c>
      <c r="R885" s="251" t="str">
        <f t="shared" si="141"/>
        <v/>
      </c>
      <c r="S885" s="252" t="str">
        <f t="shared" si="142"/>
        <v/>
      </c>
      <c r="T885" s="253"/>
      <c r="U885" s="254">
        <v>0.215</v>
      </c>
      <c r="V885" s="254">
        <v>0.21</v>
      </c>
      <c r="W885" s="254">
        <v>0.191</v>
      </c>
      <c r="X885" s="254">
        <v>0.17399999999999999</v>
      </c>
      <c r="Y885" s="254">
        <v>0.16600000000000001</v>
      </c>
      <c r="Z885" s="254">
        <v>0.14899999999999999</v>
      </c>
    </row>
    <row r="886" spans="13:26" x14ac:dyDescent="0.35">
      <c r="M886" s="250">
        <v>2090</v>
      </c>
      <c r="N886" s="251" t="str">
        <f t="shared" si="137"/>
        <v/>
      </c>
      <c r="O886" s="251" t="str">
        <f t="shared" si="138"/>
        <v/>
      </c>
      <c r="P886" s="251" t="str">
        <f t="shared" si="139"/>
        <v/>
      </c>
      <c r="Q886" s="251" t="str">
        <f t="shared" si="140"/>
        <v/>
      </c>
      <c r="R886" s="251" t="str">
        <f t="shared" si="141"/>
        <v/>
      </c>
      <c r="S886" s="252" t="str">
        <f t="shared" si="142"/>
        <v/>
      </c>
      <c r="T886" s="253"/>
      <c r="U886" s="254">
        <v>0.22500000000000001</v>
      </c>
      <c r="V886" s="254">
        <v>0.22</v>
      </c>
      <c r="W886" s="254">
        <v>0.20200000000000001</v>
      </c>
      <c r="X886" s="254">
        <v>0.183</v>
      </c>
      <c r="Y886" s="254">
        <v>0.17599999999999999</v>
      </c>
      <c r="Z886" s="254">
        <v>0.16800000000000001</v>
      </c>
    </row>
    <row r="887" spans="13:26" x14ac:dyDescent="0.35">
      <c r="M887" s="250">
        <v>2218</v>
      </c>
      <c r="N887" s="251" t="str">
        <f t="shared" si="137"/>
        <v/>
      </c>
      <c r="O887" s="251" t="str">
        <f t="shared" si="138"/>
        <v/>
      </c>
      <c r="P887" s="251" t="str">
        <f t="shared" si="139"/>
        <v/>
      </c>
      <c r="Q887" s="251" t="str">
        <f t="shared" si="140"/>
        <v/>
      </c>
      <c r="R887" s="251" t="str">
        <f t="shared" si="141"/>
        <v/>
      </c>
      <c r="S887" s="252" t="str">
        <f t="shared" si="142"/>
        <v/>
      </c>
      <c r="T887" s="253"/>
      <c r="U887" s="254">
        <v>0.23499999999999999</v>
      </c>
      <c r="V887" s="254">
        <v>0.23</v>
      </c>
      <c r="W887" s="254">
        <v>0.21299999999999999</v>
      </c>
      <c r="X887" s="254">
        <v>0.19500000000000001</v>
      </c>
      <c r="Y887" s="254">
        <v>0.185</v>
      </c>
      <c r="Z887" s="254">
        <v>0.17899999999999999</v>
      </c>
    </row>
    <row r="888" spans="13:26" x14ac:dyDescent="0.35">
      <c r="M888" s="250">
        <v>2367</v>
      </c>
      <c r="N888" s="251" t="str">
        <f t="shared" si="137"/>
        <v/>
      </c>
      <c r="O888" s="251" t="str">
        <f t="shared" si="138"/>
        <v/>
      </c>
      <c r="P888" s="251" t="str">
        <f t="shared" si="139"/>
        <v/>
      </c>
      <c r="Q888" s="251" t="str">
        <f t="shared" si="140"/>
        <v/>
      </c>
      <c r="R888" s="251" t="str">
        <f t="shared" si="141"/>
        <v/>
      </c>
      <c r="S888" s="252" t="str">
        <f t="shared" si="142"/>
        <v/>
      </c>
      <c r="T888" s="253"/>
      <c r="U888" s="254">
        <v>0.245</v>
      </c>
      <c r="V888" s="254">
        <v>0.24099999999999999</v>
      </c>
      <c r="W888" s="254">
        <v>0.23300000000000001</v>
      </c>
      <c r="X888" s="254">
        <v>0.20499999999999999</v>
      </c>
      <c r="Y888" s="254">
        <v>0.19700000000000001</v>
      </c>
      <c r="Z888" s="254">
        <v>0.188</v>
      </c>
    </row>
    <row r="889" spans="13:26" x14ac:dyDescent="0.35">
      <c r="M889" s="250">
        <v>2535</v>
      </c>
      <c r="N889" s="251" t="str">
        <f t="shared" si="137"/>
        <v/>
      </c>
      <c r="O889" s="251" t="str">
        <f t="shared" si="138"/>
        <v/>
      </c>
      <c r="P889" s="251" t="str">
        <f t="shared" si="139"/>
        <v/>
      </c>
      <c r="Q889" s="251" t="str">
        <f t="shared" si="140"/>
        <v/>
      </c>
      <c r="R889" s="251" t="str">
        <f t="shared" si="141"/>
        <v/>
      </c>
      <c r="S889" s="252" t="str">
        <f t="shared" si="142"/>
        <v/>
      </c>
      <c r="T889" s="253"/>
      <c r="U889" s="254">
        <v>0.255</v>
      </c>
      <c r="V889" s="254">
        <v>0.251</v>
      </c>
      <c r="W889" s="254">
        <v>0.24299999999999999</v>
      </c>
      <c r="X889" s="254">
        <v>0.216</v>
      </c>
      <c r="Y889" s="254">
        <v>0.20799999999999999</v>
      </c>
      <c r="Z889" s="254">
        <v>0.2</v>
      </c>
    </row>
    <row r="890" spans="13:26" x14ac:dyDescent="0.35">
      <c r="M890" s="250">
        <v>2767</v>
      </c>
      <c r="N890" s="251" t="str">
        <f t="shared" si="137"/>
        <v/>
      </c>
      <c r="O890" s="251" t="str">
        <f t="shared" si="138"/>
        <v/>
      </c>
      <c r="P890" s="251" t="str">
        <f t="shared" si="139"/>
        <v/>
      </c>
      <c r="Q890" s="251" t="str">
        <f t="shared" si="140"/>
        <v/>
      </c>
      <c r="R890" s="251" t="str">
        <f t="shared" si="141"/>
        <v/>
      </c>
      <c r="S890" s="252" t="str">
        <f t="shared" si="142"/>
        <v/>
      </c>
      <c r="T890" s="253"/>
      <c r="U890" s="254">
        <v>0.26500000000000001</v>
      </c>
      <c r="V890" s="254">
        <v>0.26</v>
      </c>
      <c r="W890" s="254">
        <v>0.253</v>
      </c>
      <c r="X890" s="254">
        <v>0.22600000000000001</v>
      </c>
      <c r="Y890" s="254">
        <v>0.218</v>
      </c>
      <c r="Z890" s="254">
        <v>0.21</v>
      </c>
    </row>
    <row r="891" spans="13:26" x14ac:dyDescent="0.35">
      <c r="M891" s="250">
        <v>3104</v>
      </c>
      <c r="N891" s="251" t="str">
        <f t="shared" si="137"/>
        <v/>
      </c>
      <c r="O891" s="251" t="str">
        <f t="shared" si="138"/>
        <v/>
      </c>
      <c r="P891" s="251" t="str">
        <f t="shared" si="139"/>
        <v/>
      </c>
      <c r="Q891" s="251" t="str">
        <f t="shared" si="140"/>
        <v/>
      </c>
      <c r="R891" s="251" t="str">
        <f t="shared" si="141"/>
        <v/>
      </c>
      <c r="S891" s="252" t="str">
        <f t="shared" si="142"/>
        <v/>
      </c>
      <c r="T891" s="253"/>
      <c r="U891" s="254">
        <v>0.27800000000000002</v>
      </c>
      <c r="V891" s="254">
        <v>0.27300000000000002</v>
      </c>
      <c r="W891" s="254">
        <v>0.26500000000000001</v>
      </c>
      <c r="X891" s="254">
        <v>0.23799999999999999</v>
      </c>
      <c r="Y891" s="254">
        <v>0.23</v>
      </c>
      <c r="Z891" s="254">
        <v>0.222</v>
      </c>
    </row>
    <row r="892" spans="13:26" x14ac:dyDescent="0.35">
      <c r="M892" s="250">
        <v>3534</v>
      </c>
      <c r="N892" s="251" t="str">
        <f t="shared" si="137"/>
        <v/>
      </c>
      <c r="O892" s="251" t="str">
        <f t="shared" si="138"/>
        <v/>
      </c>
      <c r="P892" s="251" t="str">
        <f t="shared" si="139"/>
        <v/>
      </c>
      <c r="Q892" s="251" t="str">
        <f t="shared" si="140"/>
        <v/>
      </c>
      <c r="R892" s="251" t="str">
        <f t="shared" si="141"/>
        <v/>
      </c>
      <c r="S892" s="252" t="str">
        <f t="shared" si="142"/>
        <v/>
      </c>
      <c r="T892" s="253"/>
      <c r="U892" s="254">
        <v>0.29399999999999998</v>
      </c>
      <c r="V892" s="254">
        <v>0.29299999999999998</v>
      </c>
      <c r="W892" s="254">
        <v>0.28899999999999998</v>
      </c>
      <c r="X892" s="254">
        <v>0.26500000000000001</v>
      </c>
      <c r="Y892" s="254">
        <v>0.26100000000000001</v>
      </c>
      <c r="Z892" s="254">
        <v>0.25700000000000001</v>
      </c>
    </row>
    <row r="893" spans="13:26" x14ac:dyDescent="0.35">
      <c r="M893" s="250">
        <v>4118</v>
      </c>
      <c r="N893" s="251" t="str">
        <f t="shared" si="137"/>
        <v/>
      </c>
      <c r="O893" s="251" t="str">
        <f t="shared" si="138"/>
        <v/>
      </c>
      <c r="P893" s="251" t="str">
        <f t="shared" si="139"/>
        <v/>
      </c>
      <c r="Q893" s="251" t="str">
        <f t="shared" si="140"/>
        <v/>
      </c>
      <c r="R893" s="251" t="str">
        <f t="shared" si="141"/>
        <v/>
      </c>
      <c r="S893" s="252" t="str">
        <f t="shared" si="142"/>
        <v/>
      </c>
      <c r="T893" s="253"/>
      <c r="U893" s="254">
        <v>0.30499999999999999</v>
      </c>
      <c r="V893" s="254">
        <v>0.30499999999999999</v>
      </c>
      <c r="W893" s="254">
        <v>0.29899999999999999</v>
      </c>
      <c r="X893" s="254">
        <v>0.28499999999999998</v>
      </c>
      <c r="Y893" s="254">
        <v>0.27100000000000002</v>
      </c>
      <c r="Z893" s="254">
        <v>0.26700000000000002</v>
      </c>
    </row>
    <row r="894" spans="13:26" x14ac:dyDescent="0.35">
      <c r="M894" s="250">
        <v>4650</v>
      </c>
      <c r="N894" s="251" t="str">
        <f t="shared" si="137"/>
        <v/>
      </c>
      <c r="O894" s="251" t="str">
        <f t="shared" si="138"/>
        <v/>
      </c>
      <c r="P894" s="251" t="str">
        <f t="shared" si="139"/>
        <v/>
      </c>
      <c r="Q894" s="251" t="str">
        <f t="shared" si="140"/>
        <v/>
      </c>
      <c r="R894" s="251" t="str">
        <f t="shared" si="141"/>
        <v/>
      </c>
      <c r="S894" s="252" t="str">
        <f t="shared" si="142"/>
        <v/>
      </c>
      <c r="T894" s="253"/>
      <c r="U894" s="254">
        <v>0.32300000000000001</v>
      </c>
      <c r="V894" s="254">
        <v>0.32</v>
      </c>
      <c r="W894" s="254">
        <v>0.316</v>
      </c>
      <c r="X894" s="254">
        <v>0.29899999999999999</v>
      </c>
      <c r="Y894" s="254">
        <v>0.28599999999999998</v>
      </c>
      <c r="Z894" s="254">
        <v>0.28199999999999997</v>
      </c>
    </row>
    <row r="895" spans="13:26" x14ac:dyDescent="0.35">
      <c r="M895" s="250">
        <v>5194</v>
      </c>
      <c r="N895" s="251" t="str">
        <f t="shared" si="137"/>
        <v/>
      </c>
      <c r="O895" s="251" t="str">
        <f t="shared" si="138"/>
        <v/>
      </c>
      <c r="P895" s="251" t="str">
        <f t="shared" si="139"/>
        <v/>
      </c>
      <c r="Q895" s="251" t="str">
        <f t="shared" si="140"/>
        <v/>
      </c>
      <c r="R895" s="251" t="str">
        <f t="shared" si="141"/>
        <v/>
      </c>
      <c r="S895" s="252" t="str">
        <f t="shared" si="142"/>
        <v/>
      </c>
      <c r="T895" s="253"/>
      <c r="U895" s="254">
        <v>0.33300000000000002</v>
      </c>
      <c r="V895" s="254">
        <v>0.33</v>
      </c>
      <c r="W895" s="254">
        <v>0.32600000000000001</v>
      </c>
      <c r="X895" s="254">
        <v>0.312</v>
      </c>
      <c r="Y895" s="254">
        <v>0.30499999999999999</v>
      </c>
      <c r="Z895" s="254">
        <v>0.29199999999999998</v>
      </c>
    </row>
    <row r="896" spans="13:26" x14ac:dyDescent="0.35">
      <c r="M896" s="250">
        <v>5880</v>
      </c>
      <c r="N896" s="251" t="str">
        <f t="shared" si="137"/>
        <v/>
      </c>
      <c r="O896" s="251" t="str">
        <f t="shared" si="138"/>
        <v/>
      </c>
      <c r="P896" s="251" t="str">
        <f t="shared" si="139"/>
        <v/>
      </c>
      <c r="Q896" s="251" t="str">
        <f t="shared" si="140"/>
        <v/>
      </c>
      <c r="R896" s="251" t="str">
        <f t="shared" si="141"/>
        <v/>
      </c>
      <c r="S896" s="252" t="str">
        <f t="shared" si="142"/>
        <v/>
      </c>
      <c r="T896" s="253"/>
      <c r="U896" s="254">
        <v>0.34300000000000003</v>
      </c>
      <c r="V896" s="254">
        <v>0.34</v>
      </c>
      <c r="W896" s="254">
        <v>0.33600000000000002</v>
      </c>
      <c r="X896" s="254">
        <v>0.32200000000000001</v>
      </c>
      <c r="Y896" s="254">
        <v>0.318</v>
      </c>
      <c r="Z896" s="254">
        <v>0.30099999999999999</v>
      </c>
    </row>
    <row r="897" spans="13:26" x14ac:dyDescent="0.35">
      <c r="M897" s="250">
        <v>6727</v>
      </c>
      <c r="N897" s="251" t="str">
        <f t="shared" si="137"/>
        <v/>
      </c>
      <c r="O897" s="251" t="str">
        <f t="shared" si="138"/>
        <v/>
      </c>
      <c r="P897" s="251" t="str">
        <f t="shared" si="139"/>
        <v/>
      </c>
      <c r="Q897" s="251" t="str">
        <f t="shared" si="140"/>
        <v/>
      </c>
      <c r="R897" s="251" t="str">
        <f t="shared" si="141"/>
        <v/>
      </c>
      <c r="S897" s="252" t="str">
        <f t="shared" si="142"/>
        <v/>
      </c>
      <c r="T897" s="253"/>
      <c r="U897" s="254">
        <v>0.36299999999999999</v>
      </c>
      <c r="V897" s="254">
        <v>0.36099999999999999</v>
      </c>
      <c r="W897" s="254">
        <v>0.35499999999999998</v>
      </c>
      <c r="X897" s="254">
        <v>0.34799999999999998</v>
      </c>
      <c r="Y897" s="254">
        <v>0.34599999999999997</v>
      </c>
      <c r="Z897" s="254">
        <v>0.34399999999999997</v>
      </c>
    </row>
    <row r="898" spans="13:26" x14ac:dyDescent="0.35">
      <c r="M898" s="250">
        <v>7939</v>
      </c>
      <c r="N898" s="251" t="str">
        <f t="shared" si="137"/>
        <v/>
      </c>
      <c r="O898" s="251" t="str">
        <f t="shared" si="138"/>
        <v/>
      </c>
      <c r="P898" s="251" t="str">
        <f t="shared" si="139"/>
        <v/>
      </c>
      <c r="Q898" s="251" t="str">
        <f t="shared" si="140"/>
        <v/>
      </c>
      <c r="R898" s="251" t="str">
        <f t="shared" si="141"/>
        <v/>
      </c>
      <c r="S898" s="252" t="str">
        <f t="shared" si="142"/>
        <v/>
      </c>
      <c r="T898" s="253"/>
      <c r="U898" s="254">
        <v>0.373</v>
      </c>
      <c r="V898" s="254">
        <v>0.371</v>
      </c>
      <c r="W898" s="254">
        <v>0.36899999999999999</v>
      </c>
      <c r="X898" s="254">
        <v>0.35799999999999998</v>
      </c>
      <c r="Y898" s="254">
        <v>0.35599999999999998</v>
      </c>
      <c r="Z898" s="254">
        <v>0.35399999999999998</v>
      </c>
    </row>
    <row r="899" spans="13:26" x14ac:dyDescent="0.35">
      <c r="M899" s="250">
        <v>9560</v>
      </c>
      <c r="N899" s="251" t="str">
        <f t="shared" si="137"/>
        <v/>
      </c>
      <c r="O899" s="251" t="str">
        <f t="shared" si="138"/>
        <v/>
      </c>
      <c r="P899" s="251" t="str">
        <f t="shared" si="139"/>
        <v/>
      </c>
      <c r="Q899" s="251" t="str">
        <f t="shared" si="140"/>
        <v/>
      </c>
      <c r="R899" s="251" t="str">
        <f t="shared" si="141"/>
        <v/>
      </c>
      <c r="S899" s="252" t="str">
        <f t="shared" si="142"/>
        <v/>
      </c>
      <c r="T899" s="253"/>
      <c r="U899" s="254">
        <v>0.39300000000000002</v>
      </c>
      <c r="V899" s="254">
        <v>0.39100000000000001</v>
      </c>
      <c r="W899" s="254">
        <v>0.38900000000000001</v>
      </c>
      <c r="X899" s="254">
        <v>0.378</v>
      </c>
      <c r="Y899" s="254">
        <v>0.376</v>
      </c>
      <c r="Z899" s="254">
        <v>0.374</v>
      </c>
    </row>
    <row r="900" spans="13:26" x14ac:dyDescent="0.35">
      <c r="M900" s="250">
        <v>11282</v>
      </c>
      <c r="N900" s="251" t="str">
        <f t="shared" si="137"/>
        <v/>
      </c>
      <c r="O900" s="251" t="str">
        <f t="shared" si="138"/>
        <v/>
      </c>
      <c r="P900" s="251" t="str">
        <f t="shared" si="139"/>
        <v/>
      </c>
      <c r="Q900" s="251" t="str">
        <f t="shared" si="140"/>
        <v/>
      </c>
      <c r="R900" s="251" t="str">
        <f t="shared" si="141"/>
        <v/>
      </c>
      <c r="S900" s="252" t="str">
        <f t="shared" si="142"/>
        <v/>
      </c>
      <c r="T900" s="253"/>
      <c r="U900" s="254">
        <v>0.40300000000000002</v>
      </c>
      <c r="V900" s="254">
        <v>0.40100000000000002</v>
      </c>
      <c r="W900" s="254">
        <v>0.39900000000000002</v>
      </c>
      <c r="X900" s="254">
        <v>0.39200000000000002</v>
      </c>
      <c r="Y900" s="254">
        <v>0.38600000000000001</v>
      </c>
      <c r="Z900" s="254">
        <v>0.38400000000000001</v>
      </c>
    </row>
    <row r="901" spans="13:26" x14ac:dyDescent="0.35">
      <c r="M901" s="250">
        <v>18854</v>
      </c>
      <c r="N901" s="251" t="str">
        <f t="shared" si="137"/>
        <v/>
      </c>
      <c r="O901" s="251" t="str">
        <f t="shared" si="138"/>
        <v/>
      </c>
      <c r="P901" s="251" t="str">
        <f t="shared" si="139"/>
        <v/>
      </c>
      <c r="Q901" s="251" t="str">
        <f t="shared" si="140"/>
        <v/>
      </c>
      <c r="R901" s="251" t="str">
        <f t="shared" si="141"/>
        <v/>
      </c>
      <c r="S901" s="252" t="str">
        <f t="shared" si="142"/>
        <v/>
      </c>
      <c r="T901" s="253"/>
      <c r="U901" s="254">
        <v>0.41299999999999998</v>
      </c>
      <c r="V901" s="254">
        <v>0.41099999999999998</v>
      </c>
      <c r="W901" s="254">
        <v>0.40899999999999997</v>
      </c>
      <c r="X901" s="254">
        <v>0.40200000000000002</v>
      </c>
      <c r="Y901" s="254">
        <v>0.4</v>
      </c>
      <c r="Z901" s="254">
        <v>0.39400000000000002</v>
      </c>
    </row>
    <row r="902" spans="13:26" x14ac:dyDescent="0.35">
      <c r="M902" s="250">
        <v>20221</v>
      </c>
      <c r="N902" s="251" t="str">
        <f t="shared" si="137"/>
        <v/>
      </c>
      <c r="O902" s="251" t="str">
        <f t="shared" si="138"/>
        <v/>
      </c>
      <c r="P902" s="251" t="str">
        <f t="shared" si="139"/>
        <v/>
      </c>
      <c r="Q902" s="251" t="str">
        <f t="shared" si="140"/>
        <v/>
      </c>
      <c r="R902" s="251" t="str">
        <f t="shared" si="141"/>
        <v/>
      </c>
      <c r="S902" s="252" t="str">
        <f t="shared" si="142"/>
        <v/>
      </c>
      <c r="T902" s="253"/>
      <c r="U902" s="254">
        <v>0.42299999999999999</v>
      </c>
      <c r="V902" s="254">
        <v>0.42099999999999999</v>
      </c>
      <c r="W902" s="254">
        <v>0.41899999999999998</v>
      </c>
      <c r="X902" s="254">
        <v>0.41199999999999998</v>
      </c>
      <c r="Y902" s="254">
        <v>0.41</v>
      </c>
      <c r="Z902" s="254">
        <v>0.40400000000000003</v>
      </c>
    </row>
    <row r="903" spans="13:26" x14ac:dyDescent="0.35">
      <c r="M903" s="250">
        <v>22749</v>
      </c>
      <c r="N903" s="251" t="str">
        <f t="shared" si="137"/>
        <v/>
      </c>
      <c r="O903" s="251" t="str">
        <f t="shared" si="138"/>
        <v/>
      </c>
      <c r="P903" s="251" t="str">
        <f t="shared" si="139"/>
        <v/>
      </c>
      <c r="Q903" s="251" t="str">
        <f t="shared" si="140"/>
        <v/>
      </c>
      <c r="R903" s="251" t="str">
        <f t="shared" si="141"/>
        <v/>
      </c>
      <c r="S903" s="252" t="str">
        <f t="shared" si="142"/>
        <v/>
      </c>
      <c r="T903" s="253"/>
      <c r="U903" s="254">
        <v>0.43099999999999999</v>
      </c>
      <c r="V903" s="254">
        <v>0.43099999999999999</v>
      </c>
      <c r="W903" s="254">
        <v>0.42899999999999999</v>
      </c>
      <c r="X903" s="254">
        <v>0.42199999999999999</v>
      </c>
      <c r="Y903" s="254">
        <v>0.42</v>
      </c>
      <c r="Z903" s="254">
        <v>0.41599999999999998</v>
      </c>
    </row>
    <row r="904" spans="13:26" x14ac:dyDescent="0.35">
      <c r="M904" s="250">
        <v>25276</v>
      </c>
      <c r="N904" s="251" t="str">
        <f t="shared" si="137"/>
        <v/>
      </c>
      <c r="O904" s="251" t="str">
        <f t="shared" si="138"/>
        <v/>
      </c>
      <c r="P904" s="251" t="str">
        <f t="shared" si="139"/>
        <v/>
      </c>
      <c r="Q904" s="251" t="str">
        <f t="shared" si="140"/>
        <v/>
      </c>
      <c r="R904" s="251" t="str">
        <f t="shared" si="141"/>
        <v/>
      </c>
      <c r="S904" s="252" t="str">
        <f t="shared" si="142"/>
        <v/>
      </c>
      <c r="T904" s="253"/>
      <c r="U904" s="254">
        <v>0.441</v>
      </c>
      <c r="V904" s="254">
        <v>0.441</v>
      </c>
      <c r="W904" s="254">
        <v>0.439</v>
      </c>
      <c r="X904" s="254">
        <v>0.432</v>
      </c>
      <c r="Y904" s="254">
        <v>0.43</v>
      </c>
      <c r="Z904" s="254">
        <v>0.42799999999999999</v>
      </c>
    </row>
    <row r="905" spans="13:26" x14ac:dyDescent="0.35">
      <c r="M905" s="250">
        <v>25276</v>
      </c>
      <c r="N905" s="251" t="str">
        <f t="shared" si="137"/>
        <v/>
      </c>
      <c r="O905" s="251" t="str">
        <f t="shared" si="138"/>
        <v/>
      </c>
      <c r="P905" s="251" t="str">
        <f t="shared" si="139"/>
        <v/>
      </c>
      <c r="Q905" s="251" t="str">
        <f t="shared" si="140"/>
        <v/>
      </c>
      <c r="R905" s="251" t="str">
        <f t="shared" si="141"/>
        <v/>
      </c>
      <c r="S905" s="252" t="str">
        <f t="shared" si="142"/>
        <v/>
      </c>
      <c r="T905" s="253"/>
      <c r="U905" s="254">
        <v>0.45100000000000001</v>
      </c>
      <c r="V905" s="254">
        <v>0.45100000000000001</v>
      </c>
      <c r="W905" s="254">
        <v>0.44900000000000001</v>
      </c>
      <c r="X905" s="254">
        <v>0.442</v>
      </c>
      <c r="Y905" s="254">
        <v>0.44</v>
      </c>
      <c r="Z905" s="254">
        <v>0.438</v>
      </c>
    </row>
    <row r="906" spans="13:26" x14ac:dyDescent="0.35">
      <c r="M906" s="250">
        <v>25276</v>
      </c>
      <c r="N906" s="251" t="str">
        <f t="shared" si="137"/>
        <v/>
      </c>
      <c r="O906" s="251" t="str">
        <f t="shared" si="138"/>
        <v/>
      </c>
      <c r="P906" s="251" t="str">
        <f t="shared" si="139"/>
        <v/>
      </c>
      <c r="Q906" s="251" t="str">
        <f t="shared" si="140"/>
        <v/>
      </c>
      <c r="R906" s="251" t="str">
        <f t="shared" si="141"/>
        <v/>
      </c>
      <c r="S906" s="252" t="str">
        <f t="shared" si="142"/>
        <v/>
      </c>
      <c r="T906" s="253"/>
      <c r="U906" s="254">
        <v>0.45100000000000001</v>
      </c>
      <c r="V906" s="254">
        <v>0.45100000000000001</v>
      </c>
      <c r="W906" s="254">
        <v>0.44900000000000001</v>
      </c>
      <c r="X906" s="254">
        <v>0.442</v>
      </c>
      <c r="Y906" s="254">
        <v>0.44</v>
      </c>
      <c r="Z906" s="254">
        <v>0.438</v>
      </c>
    </row>
    <row r="907" spans="13:26" x14ac:dyDescent="0.35">
      <c r="M907" s="250">
        <v>25276</v>
      </c>
      <c r="N907" s="251" t="str">
        <f>IF($R$11&gt;=M906+0.01,U907,"")</f>
        <v/>
      </c>
      <c r="O907" s="251" t="str">
        <f>IF($R$11&gt;=M906,V907,"")</f>
        <v/>
      </c>
      <c r="P907" s="251" t="str">
        <f>IF($R$11&gt;=M906,W907,"")</f>
        <v/>
      </c>
      <c r="Q907" s="251" t="str">
        <f>IF($R$11&gt;=M906,X907,"")</f>
        <v/>
      </c>
      <c r="R907" s="252" t="str">
        <f>IF($R$11&gt;=M906,Y907,"")</f>
        <v/>
      </c>
      <c r="S907" s="251" t="str">
        <f>IF($R$11&gt;=M906,Z907,"")</f>
        <v/>
      </c>
      <c r="T907" s="253"/>
      <c r="U907" s="254">
        <v>0.45100000000000001</v>
      </c>
      <c r="V907" s="254">
        <v>0.45100000000000001</v>
      </c>
      <c r="W907" s="254">
        <v>0.44900000000000001</v>
      </c>
      <c r="X907" s="254">
        <v>0.442</v>
      </c>
      <c r="Y907" s="254">
        <v>0.44</v>
      </c>
      <c r="Z907" s="254">
        <v>0.438</v>
      </c>
    </row>
    <row r="908" spans="13:26" x14ac:dyDescent="0.35">
      <c r="M908" s="249"/>
      <c r="N908" s="257" t="str">
        <f>IF($A$15=1,IF($A$2=9,IF($I$2=0,SUM(N870:N907),""),""),"")</f>
        <v/>
      </c>
      <c r="O908" s="258" t="str">
        <f>IF($A$15=1,IF($A$2=9,IF($I$2=1,SUM(O870:O907),""),""),"")</f>
        <v/>
      </c>
      <c r="P908" s="258" t="str">
        <f>IF($A$15=1,IF($A$2=9,IF($I$2=2,SUM(P870:P907),""),""),"")</f>
        <v/>
      </c>
      <c r="Q908" s="258" t="str">
        <f>IF($A$15=1,IF($A$2=9,IF($I$2=3,SUM(Q870:Q907),""),""),"")</f>
        <v/>
      </c>
      <c r="R908" s="258" t="str">
        <f>IF($A$15=1,IF($A$2=9,IF($I$2=4,SUM(R870:R907),""),""),"")</f>
        <v/>
      </c>
      <c r="S908" s="259" t="str">
        <f>IF($A$15=1,IF($A$2=9,IF($I$2=5,SUM(S870:S907),""),""),"")</f>
        <v/>
      </c>
      <c r="T908" s="260">
        <f>SUM(N908:S908)</f>
        <v>0</v>
      </c>
      <c r="U908" s="253"/>
      <c r="V908" s="253"/>
      <c r="W908" s="253"/>
      <c r="X908" s="253"/>
      <c r="Y908" s="253"/>
      <c r="Z908" s="253"/>
    </row>
    <row r="909" spans="13:26" x14ac:dyDescent="0.35">
      <c r="M909" s="249"/>
      <c r="N909" s="249"/>
      <c r="O909" s="249"/>
      <c r="P909" s="261"/>
      <c r="Q909" s="249"/>
      <c r="R909" s="261"/>
      <c r="S909" s="249"/>
      <c r="T909" s="253"/>
      <c r="U909" s="253"/>
      <c r="V909" s="253"/>
      <c r="W909" s="253"/>
      <c r="X909" s="253"/>
      <c r="Y909" s="253"/>
      <c r="Z909" s="253"/>
    </row>
    <row r="910" spans="13:26" x14ac:dyDescent="0.35">
      <c r="M910" s="249"/>
      <c r="N910" s="249"/>
      <c r="O910" s="249"/>
      <c r="P910" s="250"/>
      <c r="Q910" s="249"/>
      <c r="R910" s="249"/>
      <c r="S910" s="249"/>
      <c r="T910" s="253"/>
      <c r="U910" s="253"/>
      <c r="V910" s="253"/>
      <c r="W910" s="253"/>
      <c r="X910" s="253"/>
      <c r="Y910" s="253"/>
      <c r="Z910" s="253"/>
    </row>
    <row r="911" spans="13:26" x14ac:dyDescent="0.35">
      <c r="M911" s="249"/>
      <c r="N911" s="249"/>
      <c r="O911" s="249"/>
      <c r="P911" s="249"/>
      <c r="Q911" s="249"/>
      <c r="R911" s="249"/>
      <c r="S911" s="249"/>
      <c r="T911" s="253"/>
      <c r="U911" s="253"/>
      <c r="V911" s="253"/>
      <c r="W911" s="253"/>
      <c r="X911" s="253"/>
      <c r="Y911" s="253"/>
      <c r="Z911" s="253"/>
    </row>
    <row r="912" spans="13:26" x14ac:dyDescent="0.35">
      <c r="M912" s="263" t="s">
        <v>213</v>
      </c>
      <c r="N912" s="264"/>
      <c r="O912" s="263" t="s">
        <v>148</v>
      </c>
      <c r="P912" s="264"/>
      <c r="Q912" s="264"/>
      <c r="R912" s="264"/>
      <c r="S912" s="249"/>
      <c r="T912" s="253"/>
      <c r="U912" s="265" t="str">
        <f>O912</f>
        <v>Tabelas de IRS de retenção na fonte referente a 2018 no Continente</v>
      </c>
      <c r="V912" s="253"/>
      <c r="W912" s="253"/>
      <c r="X912" s="253"/>
      <c r="Y912" s="253"/>
      <c r="Z912" s="253"/>
    </row>
    <row r="913" spans="13:26" x14ac:dyDescent="0.35">
      <c r="M913" s="249"/>
      <c r="N913" s="293" t="s">
        <v>201</v>
      </c>
      <c r="O913" s="249"/>
      <c r="P913" s="249"/>
      <c r="Q913" s="264"/>
      <c r="R913" s="264"/>
      <c r="S913" s="249"/>
      <c r="T913" s="253"/>
      <c r="U913" s="265" t="str">
        <f>N913</f>
        <v>T A B E L A  XIII - TRABALHO DEPENDENTE ARTIGO 29.º DA LEI DO ORÇAMENTO DO ESTADO PARA 2018</v>
      </c>
      <c r="V913" s="253"/>
      <c r="W913" s="253"/>
      <c r="X913" s="253"/>
      <c r="Y913" s="253"/>
      <c r="Z913" s="253"/>
    </row>
    <row r="914" spans="13:26" x14ac:dyDescent="0.35">
      <c r="M914" s="266"/>
      <c r="N914" s="264"/>
      <c r="O914" s="263" t="s">
        <v>188</v>
      </c>
      <c r="P914" s="249"/>
      <c r="Q914" s="264"/>
      <c r="R914" s="264"/>
      <c r="S914" s="249"/>
      <c r="T914" s="253"/>
      <c r="U914" s="265" t="str">
        <f>O914</f>
        <v>NÃO CASADO - DEFICIENTE</v>
      </c>
      <c r="V914" s="253"/>
      <c r="W914" s="253"/>
      <c r="X914" s="253"/>
      <c r="Y914" s="253"/>
      <c r="Z914" s="253"/>
    </row>
    <row r="915" spans="13:26" x14ac:dyDescent="0.35">
      <c r="M915" s="267" t="s">
        <v>154</v>
      </c>
      <c r="N915" s="268" t="s">
        <v>155</v>
      </c>
      <c r="O915" s="268" t="s">
        <v>156</v>
      </c>
      <c r="P915" s="268" t="s">
        <v>157</v>
      </c>
      <c r="Q915" s="268" t="s">
        <v>158</v>
      </c>
      <c r="R915" s="268" t="s">
        <v>159</v>
      </c>
      <c r="S915" s="268" t="s">
        <v>160</v>
      </c>
      <c r="T915" s="253"/>
      <c r="U915" s="269" t="str">
        <f t="shared" ref="U915:Z915" si="143">N915</f>
        <v>0 dep</v>
      </c>
      <c r="V915" s="269" t="str">
        <f t="shared" si="143"/>
        <v>1 dep</v>
      </c>
      <c r="W915" s="269" t="str">
        <f t="shared" si="143"/>
        <v>2 dep</v>
      </c>
      <c r="X915" s="269" t="str">
        <f t="shared" si="143"/>
        <v>3 dep</v>
      </c>
      <c r="Y915" s="269" t="str">
        <f t="shared" si="143"/>
        <v>4 dep</v>
      </c>
      <c r="Z915" s="269" t="str">
        <f t="shared" si="143"/>
        <v>5 dep. ou +</v>
      </c>
    </row>
    <row r="916" spans="13:26" x14ac:dyDescent="0.35">
      <c r="M916" s="250">
        <v>1310</v>
      </c>
      <c r="N916" s="251" t="str">
        <f>IF($R$11&lt;=M916,IF($R$11&gt;=0,0,""),"")</f>
        <v/>
      </c>
      <c r="O916" s="251" t="str">
        <f>IF($R$11&lt;=M916,IF($R$11&gt;=0,0,""),"")</f>
        <v/>
      </c>
      <c r="P916" s="251" t="str">
        <f>IF($R$11&lt;=M916,IF($R$11&gt;=0,0,""),"")</f>
        <v/>
      </c>
      <c r="Q916" s="251" t="str">
        <f>IF($R$11&lt;=M916,IF($R$11&gt;=0,0,""),"")</f>
        <v/>
      </c>
      <c r="R916" s="251" t="str">
        <f>IF($R$11&lt;=M916,IF($R$11&gt;=0,0,""),"")</f>
        <v/>
      </c>
      <c r="S916" s="251" t="str">
        <f>IF($R$11&lt;=M916,IF($R$11&gt;=0,0,""),"")</f>
        <v/>
      </c>
      <c r="T916" s="253"/>
      <c r="U916" s="254">
        <v>0</v>
      </c>
      <c r="V916" s="254">
        <v>0</v>
      </c>
      <c r="W916" s="254">
        <v>0</v>
      </c>
      <c r="X916" s="254">
        <v>0</v>
      </c>
      <c r="Y916" s="254">
        <v>0</v>
      </c>
      <c r="Z916" s="254">
        <v>0</v>
      </c>
    </row>
    <row r="917" spans="13:26" x14ac:dyDescent="0.35">
      <c r="M917" s="250">
        <v>1414</v>
      </c>
      <c r="N917" s="251" t="str">
        <f t="shared" ref="N917:N944" si="144">IF($R$11&lt;=M917,IF($R$11&gt;=M916+0.01,U917,""),"")</f>
        <v/>
      </c>
      <c r="O917" s="251" t="str">
        <f t="shared" ref="O917:O944" si="145">IF($R$11&lt;=M917,IF($R$11&gt;=M916+0.01,V917,""),"")</f>
        <v/>
      </c>
      <c r="P917" s="251" t="str">
        <f t="shared" ref="P917:P944" si="146">IF($R$11&lt;=M917,IF($R$11&gt;=M916+0.01,W917,""),"")</f>
        <v/>
      </c>
      <c r="Q917" s="251" t="str">
        <f t="shared" ref="Q917:Q944" si="147">IF($R$11&lt;=M917,IF($R$11&gt;=M916+0.01,X917,""),"")</f>
        <v/>
      </c>
      <c r="R917" s="251" t="str">
        <f t="shared" ref="R917:R944" si="148">IF($R$11&lt;=M917,IF($R$11&gt;=M916+0.01,Y917,""),"")</f>
        <v/>
      </c>
      <c r="S917" s="252" t="str">
        <f t="shared" ref="S917:S944" si="149">IF($R$11&lt;=M917,IF($R$11&gt;=M916+0.01,Z917,""),"")</f>
        <v/>
      </c>
      <c r="T917" s="253"/>
      <c r="U917" s="254">
        <v>1.2E-2</v>
      </c>
      <c r="V917" s="254">
        <v>0</v>
      </c>
      <c r="W917" s="254">
        <v>0</v>
      </c>
      <c r="X917" s="254">
        <v>0</v>
      </c>
      <c r="Y917" s="254">
        <v>0</v>
      </c>
      <c r="Z917" s="254">
        <v>0</v>
      </c>
    </row>
    <row r="918" spans="13:26" x14ac:dyDescent="0.35">
      <c r="M918" s="250">
        <v>1455</v>
      </c>
      <c r="N918" s="251" t="str">
        <f t="shared" si="144"/>
        <v/>
      </c>
      <c r="O918" s="251" t="str">
        <f t="shared" si="145"/>
        <v/>
      </c>
      <c r="P918" s="251" t="str">
        <f t="shared" si="146"/>
        <v/>
      </c>
      <c r="Q918" s="251" t="str">
        <f t="shared" si="147"/>
        <v/>
      </c>
      <c r="R918" s="251" t="str">
        <f t="shared" si="148"/>
        <v/>
      </c>
      <c r="S918" s="252" t="str">
        <f t="shared" si="149"/>
        <v/>
      </c>
      <c r="T918" s="253"/>
      <c r="U918" s="254">
        <v>4.1000000000000002E-2</v>
      </c>
      <c r="V918" s="254">
        <v>6.0000000000000001E-3</v>
      </c>
      <c r="W918" s="254">
        <v>0</v>
      </c>
      <c r="X918" s="254">
        <v>0</v>
      </c>
      <c r="Y918" s="254">
        <v>0</v>
      </c>
      <c r="Z918" s="254">
        <v>0</v>
      </c>
    </row>
    <row r="919" spans="13:26" x14ac:dyDescent="0.35">
      <c r="M919" s="250">
        <v>1639</v>
      </c>
      <c r="N919" s="251">
        <f t="shared" si="144"/>
        <v>5.0999999999999997E-2</v>
      </c>
      <c r="O919" s="251">
        <f t="shared" si="145"/>
        <v>2.5999999999999999E-2</v>
      </c>
      <c r="P919" s="251">
        <f t="shared" si="146"/>
        <v>0</v>
      </c>
      <c r="Q919" s="251">
        <f t="shared" si="147"/>
        <v>0</v>
      </c>
      <c r="R919" s="251">
        <f t="shared" si="148"/>
        <v>0</v>
      </c>
      <c r="S919" s="252">
        <f t="shared" si="149"/>
        <v>0</v>
      </c>
      <c r="T919" s="253"/>
      <c r="U919" s="254">
        <v>5.0999999999999997E-2</v>
      </c>
      <c r="V919" s="254">
        <v>2.5999999999999999E-2</v>
      </c>
      <c r="W919" s="254">
        <v>0</v>
      </c>
      <c r="X919" s="254">
        <v>0</v>
      </c>
      <c r="Y919" s="254">
        <v>0</v>
      </c>
      <c r="Z919" s="254">
        <v>0</v>
      </c>
    </row>
    <row r="920" spans="13:26" x14ac:dyDescent="0.35">
      <c r="M920" s="250">
        <v>1956</v>
      </c>
      <c r="N920" s="251" t="str">
        <f t="shared" si="144"/>
        <v/>
      </c>
      <c r="O920" s="251" t="str">
        <f t="shared" si="145"/>
        <v/>
      </c>
      <c r="P920" s="251" t="str">
        <f t="shared" si="146"/>
        <v/>
      </c>
      <c r="Q920" s="251" t="str">
        <f t="shared" si="147"/>
        <v/>
      </c>
      <c r="R920" s="251" t="str">
        <f t="shared" si="148"/>
        <v/>
      </c>
      <c r="S920" s="252" t="str">
        <f t="shared" si="149"/>
        <v/>
      </c>
      <c r="T920" s="253"/>
      <c r="U920" s="254">
        <v>6.6000000000000003E-2</v>
      </c>
      <c r="V920" s="254">
        <v>4.7E-2</v>
      </c>
      <c r="W920" s="254">
        <v>3.6999999999999998E-2</v>
      </c>
      <c r="X920" s="254">
        <v>2E-3</v>
      </c>
      <c r="Y920" s="254">
        <v>0</v>
      </c>
      <c r="Z920" s="254">
        <v>0</v>
      </c>
    </row>
    <row r="921" spans="13:26" x14ac:dyDescent="0.35">
      <c r="M921" s="250">
        <v>2079</v>
      </c>
      <c r="N921" s="251" t="str">
        <f t="shared" si="144"/>
        <v/>
      </c>
      <c r="O921" s="251" t="str">
        <f t="shared" si="145"/>
        <v/>
      </c>
      <c r="P921" s="251" t="str">
        <f t="shared" si="146"/>
        <v/>
      </c>
      <c r="Q921" s="251" t="str">
        <f t="shared" si="147"/>
        <v/>
      </c>
      <c r="R921" s="251" t="str">
        <f t="shared" si="148"/>
        <v/>
      </c>
      <c r="S921" s="252" t="str">
        <f t="shared" si="149"/>
        <v/>
      </c>
      <c r="T921" s="253"/>
      <c r="U921" s="254">
        <v>0.08</v>
      </c>
      <c r="V921" s="254">
        <v>6.2E-2</v>
      </c>
      <c r="W921" s="254">
        <v>5.1999999999999998E-2</v>
      </c>
      <c r="X921" s="254">
        <v>2.1999999999999999E-2</v>
      </c>
      <c r="Y921" s="254">
        <v>1.2E-2</v>
      </c>
      <c r="Z921" s="254">
        <v>0</v>
      </c>
    </row>
    <row r="922" spans="13:26" x14ac:dyDescent="0.35">
      <c r="M922" s="250">
        <v>2213</v>
      </c>
      <c r="N922" s="251" t="str">
        <f t="shared" si="144"/>
        <v/>
      </c>
      <c r="O922" s="251" t="str">
        <f t="shared" si="145"/>
        <v/>
      </c>
      <c r="P922" s="251" t="str">
        <f t="shared" si="146"/>
        <v/>
      </c>
      <c r="Q922" s="251" t="str">
        <f t="shared" si="147"/>
        <v/>
      </c>
      <c r="R922" s="251" t="str">
        <f t="shared" si="148"/>
        <v/>
      </c>
      <c r="S922" s="252" t="str">
        <f t="shared" si="149"/>
        <v/>
      </c>
      <c r="T922" s="253"/>
      <c r="U922" s="254">
        <v>9.9000000000000005E-2</v>
      </c>
      <c r="V922" s="254">
        <v>7.1999999999999995E-2</v>
      </c>
      <c r="W922" s="254">
        <v>6.2E-2</v>
      </c>
      <c r="X922" s="254">
        <v>4.2000000000000003E-2</v>
      </c>
      <c r="Y922" s="254">
        <v>2.1999999999999999E-2</v>
      </c>
      <c r="Z922" s="254">
        <v>1.2E-2</v>
      </c>
    </row>
    <row r="923" spans="13:26" x14ac:dyDescent="0.35">
      <c r="M923" s="250">
        <v>2314</v>
      </c>
      <c r="N923" s="251" t="str">
        <f t="shared" si="144"/>
        <v/>
      </c>
      <c r="O923" s="251" t="str">
        <f t="shared" si="145"/>
        <v/>
      </c>
      <c r="P923" s="251" t="str">
        <f t="shared" si="146"/>
        <v/>
      </c>
      <c r="Q923" s="251" t="str">
        <f t="shared" si="147"/>
        <v/>
      </c>
      <c r="R923" s="251" t="str">
        <f t="shared" si="148"/>
        <v/>
      </c>
      <c r="S923" s="252" t="str">
        <f t="shared" si="149"/>
        <v/>
      </c>
      <c r="T923" s="253"/>
      <c r="U923" s="254">
        <v>0.123</v>
      </c>
      <c r="V923" s="254">
        <v>9.5000000000000001E-2</v>
      </c>
      <c r="W923" s="254">
        <v>7.5999999999999998E-2</v>
      </c>
      <c r="X923" s="254">
        <v>5.7000000000000002E-2</v>
      </c>
      <c r="Y923" s="254">
        <v>3.6999999999999998E-2</v>
      </c>
      <c r="Z923" s="254">
        <v>2.7E-2</v>
      </c>
    </row>
    <row r="924" spans="13:26" x14ac:dyDescent="0.35">
      <c r="M924" s="250">
        <v>2479</v>
      </c>
      <c r="N924" s="251" t="str">
        <f t="shared" si="144"/>
        <v/>
      </c>
      <c r="O924" s="251" t="str">
        <f t="shared" si="145"/>
        <v/>
      </c>
      <c r="P924" s="251" t="str">
        <f t="shared" si="146"/>
        <v/>
      </c>
      <c r="Q924" s="251" t="str">
        <f t="shared" si="147"/>
        <v/>
      </c>
      <c r="R924" s="251" t="str">
        <f t="shared" si="148"/>
        <v/>
      </c>
      <c r="S924" s="252" t="str">
        <f t="shared" si="149"/>
        <v/>
      </c>
      <c r="T924" s="253"/>
      <c r="U924" s="254">
        <v>0.14299999999999999</v>
      </c>
      <c r="V924" s="254">
        <v>0.115</v>
      </c>
      <c r="W924" s="254">
        <v>9.6000000000000002E-2</v>
      </c>
      <c r="X924" s="254">
        <v>7.5999999999999998E-2</v>
      </c>
      <c r="Y924" s="254">
        <v>5.8000000000000003E-2</v>
      </c>
      <c r="Z924" s="254">
        <v>3.6999999999999998E-2</v>
      </c>
    </row>
    <row r="925" spans="13:26" x14ac:dyDescent="0.35">
      <c r="M925" s="250">
        <v>2561</v>
      </c>
      <c r="N925" s="251" t="str">
        <f t="shared" si="144"/>
        <v/>
      </c>
      <c r="O925" s="251" t="str">
        <f t="shared" si="145"/>
        <v/>
      </c>
      <c r="P925" s="251" t="str">
        <f t="shared" si="146"/>
        <v/>
      </c>
      <c r="Q925" s="251" t="str">
        <f t="shared" si="147"/>
        <v/>
      </c>
      <c r="R925" s="251" t="str">
        <f t="shared" si="148"/>
        <v/>
      </c>
      <c r="S925" s="252" t="str">
        <f t="shared" si="149"/>
        <v/>
      </c>
      <c r="T925" s="253"/>
      <c r="U925" s="254">
        <v>0.152</v>
      </c>
      <c r="V925" s="254">
        <v>0.13400000000000001</v>
      </c>
      <c r="W925" s="254">
        <v>0.115</v>
      </c>
      <c r="X925" s="254">
        <v>9.6000000000000002E-2</v>
      </c>
      <c r="Y925" s="254">
        <v>6.7000000000000004E-2</v>
      </c>
      <c r="Z925" s="254">
        <v>5.8000000000000003E-2</v>
      </c>
    </row>
    <row r="926" spans="13:26" x14ac:dyDescent="0.35">
      <c r="M926" s="250">
        <v>2663</v>
      </c>
      <c r="N926" s="251" t="str">
        <f t="shared" si="144"/>
        <v/>
      </c>
      <c r="O926" s="251" t="str">
        <f t="shared" si="145"/>
        <v/>
      </c>
      <c r="P926" s="251" t="str">
        <f t="shared" si="146"/>
        <v/>
      </c>
      <c r="Q926" s="251" t="str">
        <f t="shared" si="147"/>
        <v/>
      </c>
      <c r="R926" s="251" t="str">
        <f t="shared" si="148"/>
        <v/>
      </c>
      <c r="S926" s="252" t="str">
        <f t="shared" si="149"/>
        <v/>
      </c>
      <c r="T926" s="253"/>
      <c r="U926" s="254">
        <v>0.16300000000000001</v>
      </c>
      <c r="V926" s="254">
        <v>0.14399999999999999</v>
      </c>
      <c r="W926" s="254">
        <v>0.124</v>
      </c>
      <c r="X926" s="254">
        <v>0.106</v>
      </c>
      <c r="Y926" s="254">
        <v>8.5999999999999993E-2</v>
      </c>
      <c r="Z926" s="254">
        <v>7.5999999999999998E-2</v>
      </c>
    </row>
    <row r="927" spans="13:26" x14ac:dyDescent="0.35">
      <c r="M927" s="250">
        <v>2929</v>
      </c>
      <c r="N927" s="251" t="str">
        <f t="shared" si="144"/>
        <v/>
      </c>
      <c r="O927" s="251" t="str">
        <f t="shared" si="145"/>
        <v/>
      </c>
      <c r="P927" s="251" t="str">
        <f t="shared" si="146"/>
        <v/>
      </c>
      <c r="Q927" s="251" t="str">
        <f t="shared" si="147"/>
        <v/>
      </c>
      <c r="R927" s="251" t="str">
        <f t="shared" si="148"/>
        <v/>
      </c>
      <c r="S927" s="252" t="str">
        <f t="shared" si="149"/>
        <v/>
      </c>
      <c r="T927" s="253"/>
      <c r="U927" s="254">
        <v>0.17199999999999999</v>
      </c>
      <c r="V927" s="254">
        <v>0.154</v>
      </c>
      <c r="W927" s="254">
        <v>0.13400000000000001</v>
      </c>
      <c r="X927" s="254">
        <v>0.11600000000000001</v>
      </c>
      <c r="Y927" s="254">
        <v>0.106</v>
      </c>
      <c r="Z927" s="254">
        <v>9.6000000000000002E-2</v>
      </c>
    </row>
    <row r="928" spans="13:26" x14ac:dyDescent="0.35">
      <c r="M928" s="250">
        <v>3247</v>
      </c>
      <c r="N928" s="251" t="str">
        <f t="shared" si="144"/>
        <v/>
      </c>
      <c r="O928" s="251" t="str">
        <f t="shared" si="145"/>
        <v/>
      </c>
      <c r="P928" s="251" t="str">
        <f t="shared" si="146"/>
        <v/>
      </c>
      <c r="Q928" s="251" t="str">
        <f t="shared" si="147"/>
        <v/>
      </c>
      <c r="R928" s="251" t="str">
        <f t="shared" si="148"/>
        <v/>
      </c>
      <c r="S928" s="252" t="str">
        <f t="shared" si="149"/>
        <v/>
      </c>
      <c r="T928" s="253"/>
      <c r="U928" s="254">
        <v>0.183</v>
      </c>
      <c r="V928" s="254">
        <v>0.16900000000000001</v>
      </c>
      <c r="W928" s="254">
        <v>0.153</v>
      </c>
      <c r="X928" s="254">
        <v>0.13800000000000001</v>
      </c>
      <c r="Y928" s="254">
        <v>0.13200000000000001</v>
      </c>
      <c r="Z928" s="254">
        <v>0.126</v>
      </c>
    </row>
    <row r="929" spans="13:26" x14ac:dyDescent="0.35">
      <c r="M929" s="250">
        <v>3585</v>
      </c>
      <c r="N929" s="251" t="str">
        <f t="shared" si="144"/>
        <v/>
      </c>
      <c r="O929" s="251" t="str">
        <f t="shared" si="145"/>
        <v/>
      </c>
      <c r="P929" s="251" t="str">
        <f t="shared" si="146"/>
        <v/>
      </c>
      <c r="Q929" s="251" t="str">
        <f t="shared" si="147"/>
        <v/>
      </c>
      <c r="R929" s="251" t="str">
        <f t="shared" si="148"/>
        <v/>
      </c>
      <c r="S929" s="252" t="str">
        <f t="shared" si="149"/>
        <v/>
      </c>
      <c r="T929" s="253"/>
      <c r="U929" s="254">
        <v>0.19500000000000001</v>
      </c>
      <c r="V929" s="254">
        <v>0.18</v>
      </c>
      <c r="W929" s="254">
        <v>0.16500000000000001</v>
      </c>
      <c r="X929" s="254">
        <v>0.14899999999999999</v>
      </c>
      <c r="Y929" s="254">
        <v>0.14299999999999999</v>
      </c>
      <c r="Z929" s="254">
        <v>0.13700000000000001</v>
      </c>
    </row>
    <row r="930" spans="13:26" x14ac:dyDescent="0.35">
      <c r="M930" s="250">
        <v>3718</v>
      </c>
      <c r="N930" s="251" t="str">
        <f t="shared" si="144"/>
        <v/>
      </c>
      <c r="O930" s="251" t="str">
        <f t="shared" si="145"/>
        <v/>
      </c>
      <c r="P930" s="251" t="str">
        <f t="shared" si="146"/>
        <v/>
      </c>
      <c r="Q930" s="251" t="str">
        <f t="shared" si="147"/>
        <v/>
      </c>
      <c r="R930" s="251" t="str">
        <f t="shared" si="148"/>
        <v/>
      </c>
      <c r="S930" s="252" t="str">
        <f t="shared" si="149"/>
        <v/>
      </c>
      <c r="T930" s="253"/>
      <c r="U930" s="254">
        <v>0.20499999999999999</v>
      </c>
      <c r="V930" s="254">
        <v>0.192</v>
      </c>
      <c r="W930" s="254">
        <v>0.184</v>
      </c>
      <c r="X930" s="254">
        <v>0.159</v>
      </c>
      <c r="Y930" s="254">
        <v>0.153</v>
      </c>
      <c r="Z930" s="254">
        <v>0.14699999999999999</v>
      </c>
    </row>
    <row r="931" spans="13:26" x14ac:dyDescent="0.35">
      <c r="M931" s="250">
        <v>3933</v>
      </c>
      <c r="N931" s="251" t="str">
        <f t="shared" si="144"/>
        <v/>
      </c>
      <c r="O931" s="251" t="str">
        <f t="shared" si="145"/>
        <v/>
      </c>
      <c r="P931" s="251" t="str">
        <f t="shared" si="146"/>
        <v/>
      </c>
      <c r="Q931" s="251" t="str">
        <f t="shared" si="147"/>
        <v/>
      </c>
      <c r="R931" s="251" t="str">
        <f t="shared" si="148"/>
        <v/>
      </c>
      <c r="S931" s="252" t="str">
        <f t="shared" si="149"/>
        <v/>
      </c>
      <c r="T931" s="253"/>
      <c r="U931" s="254">
        <v>0.215</v>
      </c>
      <c r="V931" s="254">
        <v>0.20200000000000001</v>
      </c>
      <c r="W931" s="254">
        <v>0.19600000000000001</v>
      </c>
      <c r="X931" s="254">
        <v>0.16900000000000001</v>
      </c>
      <c r="Y931" s="254">
        <v>0.16300000000000001</v>
      </c>
      <c r="Z931" s="254">
        <v>0.157</v>
      </c>
    </row>
    <row r="932" spans="13:26" x14ac:dyDescent="0.35">
      <c r="M932" s="250">
        <v>4353</v>
      </c>
      <c r="N932" s="251" t="str">
        <f t="shared" si="144"/>
        <v/>
      </c>
      <c r="O932" s="251" t="str">
        <f t="shared" si="145"/>
        <v/>
      </c>
      <c r="P932" s="251" t="str">
        <f t="shared" si="146"/>
        <v/>
      </c>
      <c r="Q932" s="251" t="str">
        <f t="shared" si="147"/>
        <v/>
      </c>
      <c r="R932" s="251" t="str">
        <f t="shared" si="148"/>
        <v/>
      </c>
      <c r="S932" s="252" t="str">
        <f t="shared" si="149"/>
        <v/>
      </c>
      <c r="T932" s="253"/>
      <c r="U932" s="254">
        <v>0.23400000000000001</v>
      </c>
      <c r="V932" s="254">
        <v>0.221</v>
      </c>
      <c r="W932" s="254">
        <v>0.216</v>
      </c>
      <c r="X932" s="254">
        <v>0.19</v>
      </c>
      <c r="Y932" s="254">
        <v>0.182</v>
      </c>
      <c r="Z932" s="254">
        <v>0.17599999999999999</v>
      </c>
    </row>
    <row r="933" spans="13:26" x14ac:dyDescent="0.35">
      <c r="M933" s="250">
        <v>4620</v>
      </c>
      <c r="N933" s="251" t="str">
        <f t="shared" si="144"/>
        <v/>
      </c>
      <c r="O933" s="251" t="str">
        <f t="shared" si="145"/>
        <v/>
      </c>
      <c r="P933" s="251" t="str">
        <f t="shared" si="146"/>
        <v/>
      </c>
      <c r="Q933" s="251" t="str">
        <f t="shared" si="147"/>
        <v/>
      </c>
      <c r="R933" s="251" t="str">
        <f t="shared" si="148"/>
        <v/>
      </c>
      <c r="S933" s="252" t="str">
        <f t="shared" si="149"/>
        <v/>
      </c>
      <c r="T933" s="253"/>
      <c r="U933" s="254">
        <v>0.24399999999999999</v>
      </c>
      <c r="V933" s="254">
        <v>0.23100000000000001</v>
      </c>
      <c r="W933" s="254">
        <v>0.22500000000000001</v>
      </c>
      <c r="X933" s="254">
        <v>0.2</v>
      </c>
      <c r="Y933" s="254">
        <v>0.19400000000000001</v>
      </c>
      <c r="Z933" s="254">
        <v>0.186</v>
      </c>
    </row>
    <row r="934" spans="13:26" x14ac:dyDescent="0.35">
      <c r="M934" s="250">
        <v>4916</v>
      </c>
      <c r="N934" s="251" t="str">
        <f t="shared" si="144"/>
        <v/>
      </c>
      <c r="O934" s="251" t="str">
        <f t="shared" si="145"/>
        <v/>
      </c>
      <c r="P934" s="251" t="str">
        <f t="shared" si="146"/>
        <v/>
      </c>
      <c r="Q934" s="251" t="str">
        <f t="shared" si="147"/>
        <v/>
      </c>
      <c r="R934" s="251" t="str">
        <f t="shared" si="148"/>
        <v/>
      </c>
      <c r="S934" s="252" t="str">
        <f t="shared" si="149"/>
        <v/>
      </c>
      <c r="T934" s="253"/>
      <c r="U934" s="254">
        <v>0.254</v>
      </c>
      <c r="V934" s="254">
        <v>0.24099999999999999</v>
      </c>
      <c r="W934" s="254">
        <v>0.23499999999999999</v>
      </c>
      <c r="X934" s="254">
        <v>0.21</v>
      </c>
      <c r="Y934" s="254">
        <v>0.20399999999999999</v>
      </c>
      <c r="Z934" s="254">
        <v>0.19800000000000001</v>
      </c>
    </row>
    <row r="935" spans="13:26" x14ac:dyDescent="0.35">
      <c r="M935" s="250">
        <v>5204</v>
      </c>
      <c r="N935" s="251" t="str">
        <f t="shared" si="144"/>
        <v/>
      </c>
      <c r="O935" s="251" t="str">
        <f t="shared" si="145"/>
        <v/>
      </c>
      <c r="P935" s="251" t="str">
        <f t="shared" si="146"/>
        <v/>
      </c>
      <c r="Q935" s="251" t="str">
        <f t="shared" si="147"/>
        <v/>
      </c>
      <c r="R935" s="251" t="str">
        <f t="shared" si="148"/>
        <v/>
      </c>
      <c r="S935" s="252" t="str">
        <f t="shared" si="149"/>
        <v/>
      </c>
      <c r="T935" s="253"/>
      <c r="U935" s="254">
        <v>0.26400000000000001</v>
      </c>
      <c r="V935" s="254">
        <v>0.251</v>
      </c>
      <c r="W935" s="254">
        <v>0.245</v>
      </c>
      <c r="X935" s="254">
        <v>0.22</v>
      </c>
      <c r="Y935" s="254">
        <v>0.214</v>
      </c>
      <c r="Z935" s="254">
        <v>0.20799999999999999</v>
      </c>
    </row>
    <row r="936" spans="13:26" x14ac:dyDescent="0.35">
      <c r="M936" s="250">
        <v>5634</v>
      </c>
      <c r="N936" s="251" t="str">
        <f t="shared" si="144"/>
        <v/>
      </c>
      <c r="O936" s="251" t="str">
        <f t="shared" si="145"/>
        <v/>
      </c>
      <c r="P936" s="251" t="str">
        <f t="shared" si="146"/>
        <v/>
      </c>
      <c r="Q936" s="251" t="str">
        <f t="shared" si="147"/>
        <v/>
      </c>
      <c r="R936" s="251" t="str">
        <f t="shared" si="148"/>
        <v/>
      </c>
      <c r="S936" s="252" t="str">
        <f t="shared" si="149"/>
        <v/>
      </c>
      <c r="T936" s="253"/>
      <c r="U936" s="254">
        <v>0.27300000000000002</v>
      </c>
      <c r="V936" s="254">
        <v>0.26100000000000001</v>
      </c>
      <c r="W936" s="254">
        <v>0.255</v>
      </c>
      <c r="X936" s="254">
        <v>0.23899999999999999</v>
      </c>
      <c r="Y936" s="254">
        <v>0.223</v>
      </c>
      <c r="Z936" s="254">
        <v>0.218</v>
      </c>
    </row>
    <row r="937" spans="13:26" x14ac:dyDescent="0.35">
      <c r="M937" s="250">
        <v>6064</v>
      </c>
      <c r="N937" s="251" t="str">
        <f t="shared" si="144"/>
        <v/>
      </c>
      <c r="O937" s="251" t="str">
        <f t="shared" si="145"/>
        <v/>
      </c>
      <c r="P937" s="251" t="str">
        <f t="shared" si="146"/>
        <v/>
      </c>
      <c r="Q937" s="251" t="str">
        <f t="shared" si="147"/>
        <v/>
      </c>
      <c r="R937" s="251" t="str">
        <f t="shared" si="148"/>
        <v/>
      </c>
      <c r="S937" s="252" t="str">
        <f t="shared" si="149"/>
        <v/>
      </c>
      <c r="T937" s="253"/>
      <c r="U937" s="254">
        <v>0.28799999999999998</v>
      </c>
      <c r="V937" s="254">
        <v>0.27500000000000002</v>
      </c>
      <c r="W937" s="254">
        <v>0.27</v>
      </c>
      <c r="X937" s="254">
        <v>0.254</v>
      </c>
      <c r="Y937" s="254">
        <v>0.23799999999999999</v>
      </c>
      <c r="Z937" s="254">
        <v>0.23200000000000001</v>
      </c>
    </row>
    <row r="938" spans="13:26" x14ac:dyDescent="0.35">
      <c r="M938" s="250">
        <v>6768</v>
      </c>
      <c r="N938" s="251" t="str">
        <f t="shared" si="144"/>
        <v/>
      </c>
      <c r="O938" s="251" t="str">
        <f t="shared" si="145"/>
        <v/>
      </c>
      <c r="P938" s="251" t="str">
        <f t="shared" si="146"/>
        <v/>
      </c>
      <c r="Q938" s="251" t="str">
        <f t="shared" si="147"/>
        <v/>
      </c>
      <c r="R938" s="251" t="str">
        <f t="shared" si="148"/>
        <v/>
      </c>
      <c r="S938" s="252" t="str">
        <f t="shared" si="149"/>
        <v/>
      </c>
      <c r="T938" s="253"/>
      <c r="U938" s="254">
        <v>0.29699999999999999</v>
      </c>
      <c r="V938" s="254">
        <v>0.28699999999999998</v>
      </c>
      <c r="W938" s="254">
        <v>0.28299999999999997</v>
      </c>
      <c r="X938" s="254">
        <v>0.27</v>
      </c>
      <c r="Y938" s="254">
        <v>0.25600000000000001</v>
      </c>
      <c r="Z938" s="254">
        <v>0.252</v>
      </c>
    </row>
    <row r="939" spans="13:26" x14ac:dyDescent="0.35">
      <c r="M939" s="250">
        <v>7236</v>
      </c>
      <c r="N939" s="251" t="str">
        <f t="shared" si="144"/>
        <v/>
      </c>
      <c r="O939" s="251" t="str">
        <f t="shared" si="145"/>
        <v/>
      </c>
      <c r="P939" s="251" t="str">
        <f t="shared" si="146"/>
        <v/>
      </c>
      <c r="Q939" s="251" t="str">
        <f t="shared" si="147"/>
        <v/>
      </c>
      <c r="R939" s="251" t="str">
        <f t="shared" si="148"/>
        <v/>
      </c>
      <c r="S939" s="252" t="str">
        <f t="shared" si="149"/>
        <v/>
      </c>
      <c r="T939" s="253"/>
      <c r="U939" s="254">
        <v>0.307</v>
      </c>
      <c r="V939" s="254">
        <v>0.29799999999999999</v>
      </c>
      <c r="W939" s="254">
        <v>0.29299999999999998</v>
      </c>
      <c r="X939" s="254">
        <v>0.27900000000000003</v>
      </c>
      <c r="Y939" s="254">
        <v>0.26600000000000001</v>
      </c>
      <c r="Z939" s="254">
        <v>0.26200000000000001</v>
      </c>
    </row>
    <row r="940" spans="13:26" x14ac:dyDescent="0.35">
      <c r="M940" s="250">
        <v>7817</v>
      </c>
      <c r="N940" s="251" t="str">
        <f>IF($R$11&lt;=M940,IF($R$11&gt;=M939+0.01,U940,""),"")</f>
        <v/>
      </c>
      <c r="O940" s="251" t="str">
        <f>IF($R$11&lt;=M940,IF($R$11&gt;=M939+0.01,V940,""),"")</f>
        <v/>
      </c>
      <c r="P940" s="251" t="str">
        <f>IF($R$11&lt;=M940,IF($R$11&gt;=M939+0.01,W940,""),"")</f>
        <v/>
      </c>
      <c r="Q940" s="251" t="str">
        <f>IF($R$11&lt;=M940,IF($R$11&gt;=M939+0.01,X940,""),"")</f>
        <v/>
      </c>
      <c r="R940" s="251" t="str">
        <f>IF($R$11&lt;=M940,IF($R$11&gt;=M939+0.01,Y940,""),"")</f>
        <v/>
      </c>
      <c r="S940" s="252" t="str">
        <f>IF($R$11&lt;=M940,IF($R$11&gt;=M939+0.01,Z940,""),"")</f>
        <v/>
      </c>
      <c r="T940" s="253"/>
      <c r="U940" s="254">
        <v>0.317</v>
      </c>
      <c r="V940" s="254">
        <v>0.308</v>
      </c>
      <c r="W940" s="254">
        <v>0.30399999999999999</v>
      </c>
      <c r="X940" s="254">
        <v>0.28899999999999998</v>
      </c>
      <c r="Y940" s="254">
        <v>0.28499999999999998</v>
      </c>
      <c r="Z940" s="254">
        <v>0.27100000000000002</v>
      </c>
    </row>
    <row r="941" spans="13:26" x14ac:dyDescent="0.35">
      <c r="M941" s="250">
        <v>8500</v>
      </c>
      <c r="N941" s="251" t="str">
        <f>IF($R$11&lt;=M941,IF($R$11&gt;=M940+0.01,U941,""),"")</f>
        <v/>
      </c>
      <c r="O941" s="251" t="str">
        <f>IF($R$11&lt;=M941,IF($R$11&gt;=M940+0.01,V941,""),"")</f>
        <v/>
      </c>
      <c r="P941" s="251" t="str">
        <f>IF($R$11&lt;=M941,IF($R$11&gt;=M940+0.01,W941,""),"")</f>
        <v/>
      </c>
      <c r="Q941" s="251" t="str">
        <f>IF($R$11&lt;=M941,IF($R$11&gt;=M940+0.01,X941,""),"")</f>
        <v/>
      </c>
      <c r="R941" s="251" t="str">
        <f>IF($R$11&lt;=M941,IF($R$11&gt;=M940+0.01,Y941,""),"")</f>
        <v/>
      </c>
      <c r="S941" s="252" t="str">
        <f>IF($R$11&lt;=M941,IF($R$11&gt;=M940+0.01,Z941,""),"")</f>
        <v/>
      </c>
      <c r="T941" s="253"/>
      <c r="U941" s="254">
        <v>0.32600000000000001</v>
      </c>
      <c r="V941" s="254">
        <v>0.318</v>
      </c>
      <c r="W941" s="254">
        <v>0.314</v>
      </c>
      <c r="X941" s="254">
        <v>0.3</v>
      </c>
      <c r="Y941" s="254">
        <v>0.28999999999999998</v>
      </c>
      <c r="Z941" s="254">
        <v>0.28100000000000003</v>
      </c>
    </row>
    <row r="942" spans="13:26" x14ac:dyDescent="0.35">
      <c r="M942" s="250">
        <v>9284</v>
      </c>
      <c r="N942" s="251" t="str">
        <f>IF($R$11&lt;=M942,IF($R$11&gt;=M941+0.01,U942,""),"")</f>
        <v/>
      </c>
      <c r="O942" s="251" t="str">
        <f>IF($R$11&lt;=M942,IF($R$11&gt;=M941+0.01,V942,""),"")</f>
        <v/>
      </c>
      <c r="P942" s="251" t="str">
        <f>IF($R$11&lt;=M942,IF($R$11&gt;=M941+0.01,W942,""),"")</f>
        <v/>
      </c>
      <c r="Q942" s="251" t="str">
        <f>IF($R$11&lt;=M942,IF($R$11&gt;=M941+0.01,X942,""),"")</f>
        <v/>
      </c>
      <c r="R942" s="251" t="str">
        <f>IF($R$11&lt;=M942,IF($R$11&gt;=M941+0.01,Y942,""),"")</f>
        <v/>
      </c>
      <c r="S942" s="252" t="str">
        <f>IF($R$11&lt;=M942,IF($R$11&gt;=M941+0.01,Z942,""),"")</f>
        <v/>
      </c>
      <c r="T942" s="253"/>
      <c r="U942" s="254">
        <v>0.33600000000000002</v>
      </c>
      <c r="V942" s="254">
        <v>0.32700000000000001</v>
      </c>
      <c r="W942" s="254">
        <v>0.32300000000000001</v>
      </c>
      <c r="X942" s="254">
        <v>0.31</v>
      </c>
      <c r="Y942" s="254">
        <v>0.29599999999999999</v>
      </c>
      <c r="Z942" s="254">
        <v>0.29099999999999998</v>
      </c>
    </row>
    <row r="943" spans="13:26" x14ac:dyDescent="0.35">
      <c r="M943" s="250">
        <v>10018</v>
      </c>
      <c r="N943" s="251" t="str">
        <f>IF($R$11&lt;=M943,IF($R$11&gt;=M942+0.01,U943,""),"")</f>
        <v/>
      </c>
      <c r="O943" s="251" t="str">
        <f>IF($R$11&lt;=M943,IF($R$11&gt;=M942+0.01,V943,""),"")</f>
        <v/>
      </c>
      <c r="P943" s="251" t="str">
        <f>IF($R$11&lt;=M943,IF($R$11&gt;=M942+0.01,W943,""),"")</f>
        <v/>
      </c>
      <c r="Q943" s="251" t="str">
        <f>IF($R$11&lt;=M943,IF($R$11&gt;=M942+0.01,X943,""),"")</f>
        <v/>
      </c>
      <c r="R943" s="251" t="str">
        <f>IF($R$11&lt;=M943,IF($R$11&gt;=M942+0.01,Y943,""),"")</f>
        <v/>
      </c>
      <c r="S943" s="252" t="str">
        <f>IF($R$11&lt;=M943,IF($R$11&gt;=M942+0.01,Z943,""),"")</f>
        <v/>
      </c>
      <c r="T943" s="253"/>
      <c r="U943" s="254">
        <v>0.35099999999999998</v>
      </c>
      <c r="V943" s="254">
        <v>0.34200000000000003</v>
      </c>
      <c r="W943" s="254">
        <v>0.33800000000000002</v>
      </c>
      <c r="X943" s="254">
        <v>0.32400000000000001</v>
      </c>
      <c r="Y943" s="254">
        <v>0.32</v>
      </c>
      <c r="Z943" s="254">
        <v>0.307</v>
      </c>
    </row>
    <row r="944" spans="13:26" x14ac:dyDescent="0.35">
      <c r="M944" s="250">
        <v>12535</v>
      </c>
      <c r="N944" s="251" t="str">
        <f t="shared" si="144"/>
        <v/>
      </c>
      <c r="O944" s="251" t="str">
        <f t="shared" si="145"/>
        <v/>
      </c>
      <c r="P944" s="251" t="str">
        <f t="shared" si="146"/>
        <v/>
      </c>
      <c r="Q944" s="251" t="str">
        <f t="shared" si="147"/>
        <v/>
      </c>
      <c r="R944" s="251" t="str">
        <f t="shared" si="148"/>
        <v/>
      </c>
      <c r="S944" s="252" t="str">
        <f t="shared" si="149"/>
        <v/>
      </c>
      <c r="T944" s="253"/>
      <c r="U944" s="254">
        <v>0.36099999999999999</v>
      </c>
      <c r="V944" s="254">
        <v>0.35199999999999998</v>
      </c>
      <c r="W944" s="254">
        <v>0.34799999999999998</v>
      </c>
      <c r="X944" s="254">
        <v>0.33400000000000002</v>
      </c>
      <c r="Y944" s="254">
        <v>0.33</v>
      </c>
      <c r="Z944" s="254">
        <v>0.317</v>
      </c>
    </row>
    <row r="945" spans="13:26" x14ac:dyDescent="0.35">
      <c r="M945" s="250">
        <v>12535</v>
      </c>
      <c r="N945" s="251" t="str">
        <f>IF($R$11&gt;=M944+0.01,U945,"")</f>
        <v/>
      </c>
      <c r="O945" s="251" t="str">
        <f>IF($R$11&gt;=M944,V945,"")</f>
        <v/>
      </c>
      <c r="P945" s="251" t="str">
        <f>IF($R$11&gt;=M944,W945,"")</f>
        <v/>
      </c>
      <c r="Q945" s="251" t="str">
        <f>IF($R$11&gt;=M944,X945,"")</f>
        <v/>
      </c>
      <c r="R945" s="252" t="str">
        <f>IF($R$11&gt;=M944,Y945,"")</f>
        <v/>
      </c>
      <c r="S945" s="251" t="str">
        <f>IF($R$11&gt;=M944,Z945,"")</f>
        <v/>
      </c>
      <c r="T945" s="253"/>
      <c r="U945" s="254">
        <v>0.37</v>
      </c>
      <c r="V945" s="254">
        <v>0.36199999999999999</v>
      </c>
      <c r="W945" s="254">
        <v>0.35799999999999998</v>
      </c>
      <c r="X945" s="254">
        <v>0.34399999999999997</v>
      </c>
      <c r="Y945" s="254">
        <v>0.34</v>
      </c>
      <c r="Z945" s="254">
        <v>0.32600000000000001</v>
      </c>
    </row>
    <row r="946" spans="13:26" x14ac:dyDescent="0.35">
      <c r="M946" s="249"/>
      <c r="N946" s="280" t="str">
        <f>IF($A$15=1,IF($A$2=10,IF($I$2=0,SUM(N916:N945),""),""),"")</f>
        <v/>
      </c>
      <c r="O946" s="281" t="str">
        <f>IF($A$15=1,IF($A$2=10,IF($I$2=1,SUM(O916:O945),""),""),"")</f>
        <v/>
      </c>
      <c r="P946" s="281" t="str">
        <f>IF($A$15=1,IF($A$2=10,IF($I$2=2,SUM(P916:P945),""),""),"")</f>
        <v/>
      </c>
      <c r="Q946" s="281" t="str">
        <f>IF($A$15=1,IF($A$2=10,IF($I$2=3,SUM(Q916:Q945),""),""),"")</f>
        <v/>
      </c>
      <c r="R946" s="281" t="str">
        <f>IF($A$15=1,IF($A$2=10,IF($I$2=4,SUM(R916:R945),""),""),"")</f>
        <v/>
      </c>
      <c r="S946" s="282" t="str">
        <f>IF($A$15=1,IF($A$2=10,IF($I$2=5,SUM(S916:S945),""),""),"")</f>
        <v/>
      </c>
      <c r="T946" s="260">
        <f>SUM(N946:S946)</f>
        <v>0</v>
      </c>
      <c r="U946" s="254"/>
      <c r="V946" s="254"/>
      <c r="W946" s="254"/>
      <c r="X946" s="254"/>
      <c r="Y946" s="254"/>
      <c r="Z946" s="254"/>
    </row>
    <row r="947" spans="13:26" x14ac:dyDescent="0.35">
      <c r="M947" s="249"/>
      <c r="N947" s="249"/>
      <c r="O947" s="249"/>
      <c r="P947" s="249"/>
      <c r="Q947" s="249"/>
      <c r="R947" s="249"/>
      <c r="S947" s="249"/>
      <c r="T947" s="253"/>
      <c r="U947" s="253"/>
      <c r="V947" s="253"/>
      <c r="W947" s="253"/>
      <c r="X947" s="253"/>
      <c r="Y947" s="253"/>
      <c r="Z947" s="253"/>
    </row>
    <row r="948" spans="13:26" x14ac:dyDescent="0.35">
      <c r="M948" s="249"/>
      <c r="N948" s="249"/>
      <c r="O948" s="249"/>
      <c r="P948" s="249"/>
      <c r="Q948" s="249"/>
      <c r="R948" s="249"/>
      <c r="S948" s="249"/>
      <c r="T948" s="253"/>
      <c r="U948" s="253"/>
      <c r="V948" s="253"/>
      <c r="W948" s="253"/>
      <c r="X948" s="253"/>
      <c r="Y948" s="253"/>
      <c r="Z948" s="253"/>
    </row>
    <row r="949" spans="13:26" x14ac:dyDescent="0.35">
      <c r="M949" s="249"/>
      <c r="N949" s="249"/>
      <c r="O949" s="249"/>
      <c r="P949" s="249"/>
      <c r="Q949" s="249"/>
      <c r="R949" s="249"/>
      <c r="S949" s="249"/>
      <c r="T949" s="253"/>
      <c r="U949" s="253"/>
      <c r="V949" s="253"/>
      <c r="W949" s="253"/>
      <c r="X949" s="253"/>
      <c r="Y949" s="253"/>
      <c r="Z949" s="253"/>
    </row>
    <row r="950" spans="13:26" x14ac:dyDescent="0.35">
      <c r="M950" s="263" t="s">
        <v>213</v>
      </c>
      <c r="N950" s="264"/>
      <c r="O950" s="263" t="s">
        <v>148</v>
      </c>
      <c r="P950" s="264"/>
      <c r="Q950" s="264"/>
      <c r="R950" s="264"/>
      <c r="S950" s="249"/>
      <c r="T950" s="253"/>
      <c r="U950" s="265" t="str">
        <f>O950</f>
        <v>Tabelas de IRS de retenção na fonte referente a 2018 no Continente</v>
      </c>
      <c r="V950" s="253"/>
      <c r="W950" s="253"/>
      <c r="X950" s="253"/>
      <c r="Y950" s="253"/>
      <c r="Z950" s="253"/>
    </row>
    <row r="951" spans="13:26" x14ac:dyDescent="0.35">
      <c r="M951" s="249"/>
      <c r="N951" s="293" t="s">
        <v>202</v>
      </c>
      <c r="O951" s="249"/>
      <c r="P951" s="249"/>
      <c r="Q951" s="264"/>
      <c r="R951" s="264"/>
      <c r="S951" s="249"/>
      <c r="T951" s="253"/>
      <c r="U951" s="265" t="str">
        <f>N951</f>
        <v>T A B E L A  XIV - TRABALHO DEPENDENTE ARTIGO 29.º DA LEI DO ORÇAMENTO DO ESTADO PARA 2018</v>
      </c>
      <c r="V951" s="253"/>
      <c r="W951" s="253"/>
      <c r="X951" s="253"/>
      <c r="Y951" s="253"/>
      <c r="Z951" s="253"/>
    </row>
    <row r="952" spans="13:26" x14ac:dyDescent="0.35">
      <c r="M952" s="266"/>
      <c r="N952" s="264"/>
      <c r="O952" s="263" t="s">
        <v>190</v>
      </c>
      <c r="P952" s="249"/>
      <c r="Q952" s="264"/>
      <c r="R952" s="264"/>
      <c r="S952" s="249"/>
      <c r="T952" s="253"/>
      <c r="U952" s="265" t="str">
        <f>O952</f>
        <v>CASADO UNICO TITULAR - DEFICIENTE</v>
      </c>
      <c r="V952" s="253"/>
      <c r="W952" s="253"/>
      <c r="X952" s="253"/>
      <c r="Y952" s="253"/>
      <c r="Z952" s="253"/>
    </row>
    <row r="953" spans="13:26" x14ac:dyDescent="0.35">
      <c r="M953" s="267" t="s">
        <v>154</v>
      </c>
      <c r="N953" s="268" t="s">
        <v>155</v>
      </c>
      <c r="O953" s="268" t="s">
        <v>156</v>
      </c>
      <c r="P953" s="268" t="s">
        <v>157</v>
      </c>
      <c r="Q953" s="268" t="s">
        <v>158</v>
      </c>
      <c r="R953" s="268" t="s">
        <v>159</v>
      </c>
      <c r="S953" s="268" t="s">
        <v>160</v>
      </c>
      <c r="T953" s="253"/>
      <c r="U953" s="269" t="str">
        <f t="shared" ref="U953:Z953" si="150">N953</f>
        <v>0 dep</v>
      </c>
      <c r="V953" s="269" t="str">
        <f t="shared" si="150"/>
        <v>1 dep</v>
      </c>
      <c r="W953" s="269" t="str">
        <f t="shared" si="150"/>
        <v>2 dep</v>
      </c>
      <c r="X953" s="269" t="str">
        <f t="shared" si="150"/>
        <v>3 dep</v>
      </c>
      <c r="Y953" s="269" t="str">
        <f t="shared" si="150"/>
        <v>4 dep</v>
      </c>
      <c r="Z953" s="269" t="str">
        <f t="shared" si="150"/>
        <v>5 dep. ou +</v>
      </c>
    </row>
    <row r="954" spans="13:26" x14ac:dyDescent="0.35">
      <c r="M954" s="250">
        <v>1650</v>
      </c>
      <c r="N954" s="251">
        <f>IF($R$11&lt;=M954,IF($R$11&gt;=0,0,""),"")</f>
        <v>0</v>
      </c>
      <c r="O954" s="251">
        <f>IF($R$11&lt;=M954,IF($R$11&gt;=0,0,""),"")</f>
        <v>0</v>
      </c>
      <c r="P954" s="251">
        <f>IF($R$11&lt;=M954,IF($R$11&gt;=0,0,""),"")</f>
        <v>0</v>
      </c>
      <c r="Q954" s="251">
        <f>IF($R$11&lt;=M954,IF($R$11&gt;=0,0,""),"")</f>
        <v>0</v>
      </c>
      <c r="R954" s="251">
        <f>IF($R$11&lt;=M954,IF($R$11&gt;=0,0,""),"")</f>
        <v>0</v>
      </c>
      <c r="S954" s="251">
        <f>IF($R$11&lt;=M954,IF($R$11&gt;=0,0,""),"")</f>
        <v>0</v>
      </c>
      <c r="T954" s="253"/>
      <c r="U954" s="254">
        <v>0</v>
      </c>
      <c r="V954" s="254">
        <v>0</v>
      </c>
      <c r="W954" s="254">
        <v>0</v>
      </c>
      <c r="X954" s="254">
        <v>0</v>
      </c>
      <c r="Y954" s="254">
        <v>0</v>
      </c>
      <c r="Z954" s="254">
        <v>0</v>
      </c>
    </row>
    <row r="955" spans="13:26" x14ac:dyDescent="0.35">
      <c r="M955" s="250">
        <v>1753</v>
      </c>
      <c r="N955" s="251" t="str">
        <f t="shared" ref="N955:N976" si="151">IF($R$11&lt;=M955,IF($R$11&gt;=M954+0.01,U955,""),"")</f>
        <v/>
      </c>
      <c r="O955" s="251" t="str">
        <f t="shared" ref="O955:O976" si="152">IF($R$11&lt;=M955,IF($R$11&gt;=M954+0.01,V955,""),"")</f>
        <v/>
      </c>
      <c r="P955" s="251" t="str">
        <f t="shared" ref="P955:P976" si="153">IF($R$11&lt;=M955,IF($R$11&gt;=M954+0.01,W955,""),"")</f>
        <v/>
      </c>
      <c r="Q955" s="251" t="str">
        <f t="shared" ref="Q955:Q976" si="154">IF($R$11&lt;=M955,IF($R$11&gt;=M954+0.01,X955,""),"")</f>
        <v/>
      </c>
      <c r="R955" s="251" t="str">
        <f t="shared" ref="R955:R976" si="155">IF($R$11&lt;=M955,IF($R$11&gt;=M954+0.01,Y955,""),"")</f>
        <v/>
      </c>
      <c r="S955" s="252" t="str">
        <f t="shared" ref="S955:S976" si="156">IF($R$11&lt;=M955,IF($R$11&gt;=M954+0.01,Z955,""),"")</f>
        <v/>
      </c>
      <c r="T955" s="253"/>
      <c r="U955" s="254">
        <v>8.0000000000000002E-3</v>
      </c>
      <c r="V955" s="254">
        <v>0</v>
      </c>
      <c r="W955" s="254">
        <v>0</v>
      </c>
      <c r="X955" s="254">
        <v>0</v>
      </c>
      <c r="Y955" s="254">
        <v>0</v>
      </c>
      <c r="Z955" s="254">
        <v>0</v>
      </c>
    </row>
    <row r="956" spans="13:26" x14ac:dyDescent="0.35">
      <c r="M956" s="250">
        <v>1905</v>
      </c>
      <c r="N956" s="251" t="str">
        <f t="shared" si="151"/>
        <v/>
      </c>
      <c r="O956" s="251" t="str">
        <f t="shared" si="152"/>
        <v/>
      </c>
      <c r="P956" s="251" t="str">
        <f t="shared" si="153"/>
        <v/>
      </c>
      <c r="Q956" s="251" t="str">
        <f t="shared" si="154"/>
        <v/>
      </c>
      <c r="R956" s="251" t="str">
        <f t="shared" si="155"/>
        <v/>
      </c>
      <c r="S956" s="252" t="str">
        <f t="shared" si="156"/>
        <v/>
      </c>
      <c r="T956" s="253"/>
      <c r="U956" s="254">
        <v>3.6999999999999998E-2</v>
      </c>
      <c r="V956" s="254">
        <v>0.01</v>
      </c>
      <c r="W956" s="254">
        <v>2E-3</v>
      </c>
      <c r="X956" s="254">
        <v>0</v>
      </c>
      <c r="Y956" s="254">
        <v>0</v>
      </c>
      <c r="Z956" s="254">
        <v>0</v>
      </c>
    </row>
    <row r="957" spans="13:26" x14ac:dyDescent="0.35">
      <c r="M957" s="250">
        <v>1972</v>
      </c>
      <c r="N957" s="251" t="str">
        <f t="shared" si="151"/>
        <v/>
      </c>
      <c r="O957" s="251" t="str">
        <f t="shared" si="152"/>
        <v/>
      </c>
      <c r="P957" s="251" t="str">
        <f t="shared" si="153"/>
        <v/>
      </c>
      <c r="Q957" s="251" t="str">
        <f t="shared" si="154"/>
        <v/>
      </c>
      <c r="R957" s="251" t="str">
        <f t="shared" si="155"/>
        <v/>
      </c>
      <c r="S957" s="252" t="str">
        <f t="shared" si="156"/>
        <v/>
      </c>
      <c r="T957" s="253"/>
      <c r="U957" s="254">
        <v>4.7E-2</v>
      </c>
      <c r="V957" s="254">
        <v>0.03</v>
      </c>
      <c r="W957" s="254">
        <v>2.1999999999999999E-2</v>
      </c>
      <c r="X957" s="254">
        <v>4.0000000000000001E-3</v>
      </c>
      <c r="Y957" s="254">
        <v>0</v>
      </c>
      <c r="Z957" s="254">
        <v>0</v>
      </c>
    </row>
    <row r="958" spans="13:26" x14ac:dyDescent="0.35">
      <c r="M958" s="250">
        <v>2342</v>
      </c>
      <c r="N958" s="251" t="str">
        <f t="shared" si="151"/>
        <v/>
      </c>
      <c r="O958" s="251" t="str">
        <f t="shared" si="152"/>
        <v/>
      </c>
      <c r="P958" s="251" t="str">
        <f t="shared" si="153"/>
        <v/>
      </c>
      <c r="Q958" s="251" t="str">
        <f t="shared" si="154"/>
        <v/>
      </c>
      <c r="R958" s="251" t="str">
        <f t="shared" si="155"/>
        <v/>
      </c>
      <c r="S958" s="252" t="str">
        <f t="shared" si="156"/>
        <v/>
      </c>
      <c r="T958" s="253"/>
      <c r="U958" s="254">
        <v>5.7000000000000002E-2</v>
      </c>
      <c r="V958" s="254">
        <v>0.05</v>
      </c>
      <c r="W958" s="254">
        <v>3.2000000000000001E-2</v>
      </c>
      <c r="X958" s="254">
        <v>1.4E-2</v>
      </c>
      <c r="Y958" s="254">
        <v>0</v>
      </c>
      <c r="Z958" s="254">
        <v>0</v>
      </c>
    </row>
    <row r="959" spans="13:26" x14ac:dyDescent="0.35">
      <c r="M959" s="250">
        <v>2520</v>
      </c>
      <c r="N959" s="251" t="str">
        <f t="shared" si="151"/>
        <v/>
      </c>
      <c r="O959" s="251" t="str">
        <f t="shared" si="152"/>
        <v/>
      </c>
      <c r="P959" s="251" t="str">
        <f t="shared" si="153"/>
        <v/>
      </c>
      <c r="Q959" s="251" t="str">
        <f t="shared" si="154"/>
        <v/>
      </c>
      <c r="R959" s="251" t="str">
        <f t="shared" si="155"/>
        <v/>
      </c>
      <c r="S959" s="252" t="str">
        <f t="shared" si="156"/>
        <v/>
      </c>
      <c r="T959" s="253"/>
      <c r="U959" s="254">
        <v>6.6000000000000003E-2</v>
      </c>
      <c r="V959" s="254">
        <v>0.06</v>
      </c>
      <c r="W959" s="254">
        <v>4.2000000000000003E-2</v>
      </c>
      <c r="X959" s="254">
        <v>2.4E-2</v>
      </c>
      <c r="Y959" s="254">
        <v>6.0000000000000001E-3</v>
      </c>
      <c r="Z959" s="254">
        <v>0</v>
      </c>
    </row>
    <row r="960" spans="13:26" x14ac:dyDescent="0.35">
      <c r="M960" s="250">
        <v>2767</v>
      </c>
      <c r="N960" s="251" t="str">
        <f t="shared" si="151"/>
        <v/>
      </c>
      <c r="O960" s="251" t="str">
        <f t="shared" si="152"/>
        <v/>
      </c>
      <c r="P960" s="251" t="str">
        <f t="shared" si="153"/>
        <v/>
      </c>
      <c r="Q960" s="251" t="str">
        <f t="shared" si="154"/>
        <v/>
      </c>
      <c r="R960" s="251" t="str">
        <f t="shared" si="155"/>
        <v/>
      </c>
      <c r="S960" s="252" t="str">
        <f t="shared" si="156"/>
        <v/>
      </c>
      <c r="T960" s="253"/>
      <c r="U960" s="254">
        <v>8.5000000000000006E-2</v>
      </c>
      <c r="V960" s="254">
        <v>7.8E-2</v>
      </c>
      <c r="W960" s="254">
        <v>6.2E-2</v>
      </c>
      <c r="X960" s="254">
        <v>4.3999999999999997E-2</v>
      </c>
      <c r="Y960" s="254">
        <v>3.5999999999999997E-2</v>
      </c>
      <c r="Z960" s="254">
        <v>1.7999999999999999E-2</v>
      </c>
    </row>
    <row r="961" spans="13:26" x14ac:dyDescent="0.35">
      <c r="M961" s="250">
        <v>2971</v>
      </c>
      <c r="N961" s="251" t="str">
        <f t="shared" si="151"/>
        <v/>
      </c>
      <c r="O961" s="251" t="str">
        <f t="shared" si="152"/>
        <v/>
      </c>
      <c r="P961" s="251" t="str">
        <f t="shared" si="153"/>
        <v/>
      </c>
      <c r="Q961" s="251" t="str">
        <f t="shared" si="154"/>
        <v/>
      </c>
      <c r="R961" s="251" t="str">
        <f t="shared" si="155"/>
        <v/>
      </c>
      <c r="S961" s="252" t="str">
        <f t="shared" si="156"/>
        <v/>
      </c>
      <c r="T961" s="253"/>
      <c r="U961" s="254">
        <v>9.5000000000000001E-2</v>
      </c>
      <c r="V961" s="254">
        <v>8.7999999999999995E-2</v>
      </c>
      <c r="W961" s="254">
        <v>7.1999999999999995E-2</v>
      </c>
      <c r="X961" s="254">
        <v>5.3999999999999999E-2</v>
      </c>
      <c r="Y961" s="254">
        <v>4.5999999999999999E-2</v>
      </c>
      <c r="Z961" s="254">
        <v>2.8000000000000001E-2</v>
      </c>
    </row>
    <row r="962" spans="13:26" x14ac:dyDescent="0.35">
      <c r="M962" s="250">
        <v>3186</v>
      </c>
      <c r="N962" s="251" t="str">
        <f t="shared" si="151"/>
        <v/>
      </c>
      <c r="O962" s="251" t="str">
        <f t="shared" si="152"/>
        <v/>
      </c>
      <c r="P962" s="251" t="str">
        <f t="shared" si="153"/>
        <v/>
      </c>
      <c r="Q962" s="251" t="str">
        <f t="shared" si="154"/>
        <v/>
      </c>
      <c r="R962" s="251" t="str">
        <f t="shared" si="155"/>
        <v/>
      </c>
      <c r="S962" s="252" t="str">
        <f t="shared" si="156"/>
        <v/>
      </c>
      <c r="T962" s="253"/>
      <c r="U962" s="254">
        <v>0.11</v>
      </c>
      <c r="V962" s="254">
        <v>0.10299999999999999</v>
      </c>
      <c r="W962" s="254">
        <v>8.5999999999999993E-2</v>
      </c>
      <c r="X962" s="254">
        <v>6.9000000000000006E-2</v>
      </c>
      <c r="Y962" s="254">
        <v>6.0999999999999999E-2</v>
      </c>
      <c r="Z962" s="254">
        <v>4.2999999999999997E-2</v>
      </c>
    </row>
    <row r="963" spans="13:26" x14ac:dyDescent="0.35">
      <c r="M963" s="250">
        <v>3356</v>
      </c>
      <c r="N963" s="251" t="str">
        <f t="shared" si="151"/>
        <v/>
      </c>
      <c r="O963" s="251" t="str">
        <f t="shared" si="152"/>
        <v/>
      </c>
      <c r="P963" s="251" t="str">
        <f t="shared" si="153"/>
        <v/>
      </c>
      <c r="Q963" s="251" t="str">
        <f t="shared" si="154"/>
        <v/>
      </c>
      <c r="R963" s="251" t="str">
        <f t="shared" si="155"/>
        <v/>
      </c>
      <c r="S963" s="252" t="str">
        <f t="shared" si="156"/>
        <v/>
      </c>
      <c r="T963" s="253"/>
      <c r="U963" s="254">
        <v>0.122</v>
      </c>
      <c r="V963" s="254">
        <v>0.11899999999999999</v>
      </c>
      <c r="W963" s="254">
        <v>0.105</v>
      </c>
      <c r="X963" s="254">
        <v>9.0999999999999998E-2</v>
      </c>
      <c r="Y963" s="254">
        <v>8.6999999999999994E-2</v>
      </c>
      <c r="Z963" s="254">
        <v>8.3000000000000004E-2</v>
      </c>
    </row>
    <row r="964" spans="13:26" x14ac:dyDescent="0.35">
      <c r="M964" s="250">
        <v>3513</v>
      </c>
      <c r="N964" s="251" t="str">
        <f t="shared" si="151"/>
        <v/>
      </c>
      <c r="O964" s="251" t="str">
        <f t="shared" si="152"/>
        <v/>
      </c>
      <c r="P964" s="251" t="str">
        <f t="shared" si="153"/>
        <v/>
      </c>
      <c r="Q964" s="251" t="str">
        <f t="shared" si="154"/>
        <v/>
      </c>
      <c r="R964" s="251" t="str">
        <f t="shared" si="155"/>
        <v/>
      </c>
      <c r="S964" s="252" t="str">
        <f t="shared" si="156"/>
        <v/>
      </c>
      <c r="T964" s="253"/>
      <c r="U964" s="254">
        <v>0.13600000000000001</v>
      </c>
      <c r="V964" s="254">
        <v>0.13500000000000001</v>
      </c>
      <c r="W964" s="254">
        <v>0.12</v>
      </c>
      <c r="X964" s="254">
        <v>0.106</v>
      </c>
      <c r="Y964" s="254">
        <v>0.10199999999999999</v>
      </c>
      <c r="Z964" s="254">
        <v>9.8000000000000004E-2</v>
      </c>
    </row>
    <row r="965" spans="13:26" x14ac:dyDescent="0.35">
      <c r="M965" s="250">
        <v>3616</v>
      </c>
      <c r="N965" s="251" t="str">
        <f t="shared" si="151"/>
        <v/>
      </c>
      <c r="O965" s="251" t="str">
        <f t="shared" si="152"/>
        <v/>
      </c>
      <c r="P965" s="251" t="str">
        <f t="shared" si="153"/>
        <v/>
      </c>
      <c r="Q965" s="251" t="str">
        <f t="shared" si="154"/>
        <v/>
      </c>
      <c r="R965" s="251" t="str">
        <f t="shared" si="155"/>
        <v/>
      </c>
      <c r="S965" s="252" t="str">
        <f t="shared" si="156"/>
        <v/>
      </c>
      <c r="T965" s="253"/>
      <c r="U965" s="254">
        <v>0.14599999999999999</v>
      </c>
      <c r="V965" s="254">
        <v>0.14499999999999999</v>
      </c>
      <c r="W965" s="254">
        <v>0.14099999999999999</v>
      </c>
      <c r="X965" s="254">
        <v>0.11600000000000001</v>
      </c>
      <c r="Y965" s="254">
        <v>0.112</v>
      </c>
      <c r="Z965" s="254">
        <v>0.108</v>
      </c>
    </row>
    <row r="966" spans="13:26" x14ac:dyDescent="0.35">
      <c r="M966" s="250">
        <v>3826</v>
      </c>
      <c r="N966" s="251" t="str">
        <f t="shared" si="151"/>
        <v/>
      </c>
      <c r="O966" s="251" t="str">
        <f t="shared" si="152"/>
        <v/>
      </c>
      <c r="P966" s="251" t="str">
        <f t="shared" si="153"/>
        <v/>
      </c>
      <c r="Q966" s="251" t="str">
        <f t="shared" si="154"/>
        <v/>
      </c>
      <c r="R966" s="251" t="str">
        <f t="shared" si="155"/>
        <v/>
      </c>
      <c r="S966" s="252" t="str">
        <f t="shared" si="156"/>
        <v/>
      </c>
      <c r="T966" s="253"/>
      <c r="U966" s="254">
        <v>0.156</v>
      </c>
      <c r="V966" s="254">
        <v>0.155</v>
      </c>
      <c r="W966" s="254">
        <v>0.151</v>
      </c>
      <c r="X966" s="254">
        <v>0.127</v>
      </c>
      <c r="Y966" s="254">
        <v>0.122</v>
      </c>
      <c r="Z966" s="254">
        <v>0.11799999999999999</v>
      </c>
    </row>
    <row r="967" spans="13:26" x14ac:dyDescent="0.35">
      <c r="M967" s="250">
        <v>3933</v>
      </c>
      <c r="N967" s="251" t="str">
        <f t="shared" si="151"/>
        <v/>
      </c>
      <c r="O967" s="251" t="str">
        <f t="shared" si="152"/>
        <v/>
      </c>
      <c r="P967" s="251" t="str">
        <f t="shared" si="153"/>
        <v/>
      </c>
      <c r="Q967" s="251" t="str">
        <f t="shared" si="154"/>
        <v/>
      </c>
      <c r="R967" s="251" t="str">
        <f t="shared" si="155"/>
        <v/>
      </c>
      <c r="S967" s="252" t="str">
        <f t="shared" si="156"/>
        <v/>
      </c>
      <c r="T967" s="253"/>
      <c r="U967" s="254">
        <v>0.16600000000000001</v>
      </c>
      <c r="V967" s="254">
        <v>0.16500000000000001</v>
      </c>
      <c r="W967" s="254">
        <v>0.161</v>
      </c>
      <c r="X967" s="254">
        <v>0.13700000000000001</v>
      </c>
      <c r="Y967" s="254">
        <v>0.13300000000000001</v>
      </c>
      <c r="Z967" s="254">
        <v>0.127</v>
      </c>
    </row>
    <row r="968" spans="13:26" x14ac:dyDescent="0.35">
      <c r="M968" s="250">
        <v>4251</v>
      </c>
      <c r="N968" s="251" t="str">
        <f t="shared" si="151"/>
        <v/>
      </c>
      <c r="O968" s="251" t="str">
        <f t="shared" si="152"/>
        <v/>
      </c>
      <c r="P968" s="251" t="str">
        <f t="shared" si="153"/>
        <v/>
      </c>
      <c r="Q968" s="251" t="str">
        <f t="shared" si="154"/>
        <v/>
      </c>
      <c r="R968" s="251" t="str">
        <f t="shared" si="155"/>
        <v/>
      </c>
      <c r="S968" s="252" t="str">
        <f t="shared" si="156"/>
        <v/>
      </c>
      <c r="T968" s="253"/>
      <c r="U968" s="254">
        <v>0.17499999999999999</v>
      </c>
      <c r="V968" s="254">
        <v>0.17399999999999999</v>
      </c>
      <c r="W968" s="254">
        <v>0.17100000000000001</v>
      </c>
      <c r="X968" s="254">
        <v>0.14699999999999999</v>
      </c>
      <c r="Y968" s="254">
        <v>0.14299999999999999</v>
      </c>
      <c r="Z968" s="254">
        <v>0.13900000000000001</v>
      </c>
    </row>
    <row r="969" spans="13:26" x14ac:dyDescent="0.35">
      <c r="M969" s="250">
        <v>4456</v>
      </c>
      <c r="N969" s="251" t="str">
        <f t="shared" si="151"/>
        <v/>
      </c>
      <c r="O969" s="251" t="str">
        <f t="shared" si="152"/>
        <v/>
      </c>
      <c r="P969" s="251" t="str">
        <f t="shared" si="153"/>
        <v/>
      </c>
      <c r="Q969" s="251" t="str">
        <f t="shared" si="154"/>
        <v/>
      </c>
      <c r="R969" s="251" t="str">
        <f t="shared" si="155"/>
        <v/>
      </c>
      <c r="S969" s="252" t="str">
        <f t="shared" si="156"/>
        <v/>
      </c>
      <c r="T969" s="253"/>
      <c r="U969" s="254">
        <v>0.185</v>
      </c>
      <c r="V969" s="254">
        <v>0.184</v>
      </c>
      <c r="W969" s="254">
        <v>0.18</v>
      </c>
      <c r="X969" s="254">
        <v>0.157</v>
      </c>
      <c r="Y969" s="254">
        <v>0.153</v>
      </c>
      <c r="Z969" s="254">
        <v>0.14899999999999999</v>
      </c>
    </row>
    <row r="970" spans="13:26" x14ac:dyDescent="0.35">
      <c r="M970" s="250">
        <v>4891</v>
      </c>
      <c r="N970" s="251" t="str">
        <f t="shared" si="151"/>
        <v/>
      </c>
      <c r="O970" s="251" t="str">
        <f t="shared" si="152"/>
        <v/>
      </c>
      <c r="P970" s="251" t="str">
        <f t="shared" si="153"/>
        <v/>
      </c>
      <c r="Q970" s="251" t="str">
        <f t="shared" si="154"/>
        <v/>
      </c>
      <c r="R970" s="251" t="str">
        <f t="shared" si="155"/>
        <v/>
      </c>
      <c r="S970" s="252" t="str">
        <f t="shared" si="156"/>
        <v/>
      </c>
      <c r="T970" s="253"/>
      <c r="U970" s="254">
        <v>0.19500000000000001</v>
      </c>
      <c r="V970" s="254">
        <v>0.19400000000000001</v>
      </c>
      <c r="W970" s="254">
        <v>0.19</v>
      </c>
      <c r="X970" s="254">
        <v>0.16700000000000001</v>
      </c>
      <c r="Y970" s="254">
        <v>0.16300000000000001</v>
      </c>
      <c r="Z970" s="254">
        <v>0.159</v>
      </c>
    </row>
    <row r="971" spans="13:26" x14ac:dyDescent="0.35">
      <c r="M971" s="250">
        <v>5316</v>
      </c>
      <c r="N971" s="251" t="str">
        <f t="shared" si="151"/>
        <v/>
      </c>
      <c r="O971" s="251" t="str">
        <f t="shared" si="152"/>
        <v/>
      </c>
      <c r="P971" s="251" t="str">
        <f t="shared" si="153"/>
        <v/>
      </c>
      <c r="Q971" s="251" t="str">
        <f t="shared" si="154"/>
        <v/>
      </c>
      <c r="R971" s="251" t="str">
        <f t="shared" si="155"/>
        <v/>
      </c>
      <c r="S971" s="252" t="str">
        <f t="shared" si="156"/>
        <v/>
      </c>
      <c r="T971" s="253"/>
      <c r="U971" s="254">
        <v>0.20499999999999999</v>
      </c>
      <c r="V971" s="254">
        <v>0.20399999999999999</v>
      </c>
      <c r="W971" s="254">
        <v>0.2</v>
      </c>
      <c r="X971" s="254">
        <v>0.17599999999999999</v>
      </c>
      <c r="Y971" s="254">
        <v>0.17199999999999999</v>
      </c>
      <c r="Z971" s="254">
        <v>0.16900000000000001</v>
      </c>
    </row>
    <row r="972" spans="13:26" x14ac:dyDescent="0.35">
      <c r="M972" s="250">
        <v>5526</v>
      </c>
      <c r="N972" s="251" t="str">
        <f t="shared" si="151"/>
        <v/>
      </c>
      <c r="O972" s="251" t="str">
        <f t="shared" si="152"/>
        <v/>
      </c>
      <c r="P972" s="251" t="str">
        <f t="shared" si="153"/>
        <v/>
      </c>
      <c r="Q972" s="251" t="str">
        <f t="shared" si="154"/>
        <v/>
      </c>
      <c r="R972" s="251" t="str">
        <f t="shared" si="155"/>
        <v/>
      </c>
      <c r="S972" s="252" t="str">
        <f t="shared" si="156"/>
        <v/>
      </c>
      <c r="T972" s="253"/>
      <c r="U972" s="254">
        <v>0.215</v>
      </c>
      <c r="V972" s="254">
        <v>0.214</v>
      </c>
      <c r="W972" s="254">
        <v>0.21</v>
      </c>
      <c r="X972" s="254">
        <v>0.19600000000000001</v>
      </c>
      <c r="Y972" s="254">
        <v>0.182</v>
      </c>
      <c r="Z972" s="254">
        <v>0.17799999999999999</v>
      </c>
    </row>
    <row r="973" spans="13:26" x14ac:dyDescent="0.35">
      <c r="M973" s="250">
        <v>5961</v>
      </c>
      <c r="N973" s="251" t="str">
        <f t="shared" si="151"/>
        <v/>
      </c>
      <c r="O973" s="251" t="str">
        <f t="shared" si="152"/>
        <v/>
      </c>
      <c r="P973" s="251" t="str">
        <f t="shared" si="153"/>
        <v/>
      </c>
      <c r="Q973" s="251" t="str">
        <f t="shared" si="154"/>
        <v/>
      </c>
      <c r="R973" s="251" t="str">
        <f t="shared" si="155"/>
        <v/>
      </c>
      <c r="S973" s="252" t="str">
        <f t="shared" si="156"/>
        <v/>
      </c>
      <c r="T973" s="253"/>
      <c r="U973" s="254">
        <v>0.224</v>
      </c>
      <c r="V973" s="254">
        <v>0.223</v>
      </c>
      <c r="W973" s="254">
        <v>0.22</v>
      </c>
      <c r="X973" s="254">
        <v>0.20599999999999999</v>
      </c>
      <c r="Y973" s="254">
        <v>0.192</v>
      </c>
      <c r="Z973" s="254">
        <v>0.188</v>
      </c>
    </row>
    <row r="974" spans="13:26" x14ac:dyDescent="0.35">
      <c r="M974" s="250">
        <v>6274</v>
      </c>
      <c r="N974" s="251" t="str">
        <f t="shared" si="151"/>
        <v/>
      </c>
      <c r="O974" s="251" t="str">
        <f t="shared" si="152"/>
        <v/>
      </c>
      <c r="P974" s="251" t="str">
        <f t="shared" si="153"/>
        <v/>
      </c>
      <c r="Q974" s="251" t="str">
        <f t="shared" si="154"/>
        <v/>
      </c>
      <c r="R974" s="251" t="str">
        <f t="shared" si="155"/>
        <v/>
      </c>
      <c r="S974" s="252" t="str">
        <f t="shared" si="156"/>
        <v/>
      </c>
      <c r="T974" s="253"/>
      <c r="U974" s="254">
        <v>0.23400000000000001</v>
      </c>
      <c r="V974" s="254">
        <v>0.23300000000000001</v>
      </c>
      <c r="W974" s="254">
        <v>0.22900000000000001</v>
      </c>
      <c r="X974" s="254">
        <v>0.216</v>
      </c>
      <c r="Y974" s="254">
        <v>0.20200000000000001</v>
      </c>
      <c r="Z974" s="254">
        <v>0.19800000000000001</v>
      </c>
    </row>
    <row r="975" spans="13:26" x14ac:dyDescent="0.35">
      <c r="M975" s="250">
        <v>6858</v>
      </c>
      <c r="N975" s="251" t="str">
        <f t="shared" si="151"/>
        <v/>
      </c>
      <c r="O975" s="251" t="str">
        <f t="shared" si="152"/>
        <v/>
      </c>
      <c r="P975" s="251" t="str">
        <f t="shared" si="153"/>
        <v/>
      </c>
      <c r="Q975" s="251" t="str">
        <f t="shared" si="154"/>
        <v/>
      </c>
      <c r="R975" s="251" t="str">
        <f t="shared" si="155"/>
        <v/>
      </c>
      <c r="S975" s="252" t="str">
        <f t="shared" si="156"/>
        <v/>
      </c>
      <c r="T975" s="253"/>
      <c r="U975" s="254">
        <v>0.247</v>
      </c>
      <c r="V975" s="254">
        <v>0.246</v>
      </c>
      <c r="W975" s="254">
        <v>0.245</v>
      </c>
      <c r="X975" s="254">
        <v>0.23100000000000001</v>
      </c>
      <c r="Y975" s="254">
        <v>0.22</v>
      </c>
      <c r="Z975" s="254">
        <v>0.218</v>
      </c>
    </row>
    <row r="976" spans="13:26" x14ac:dyDescent="0.35">
      <c r="M976" s="250">
        <v>7385</v>
      </c>
      <c r="N976" s="251" t="str">
        <f t="shared" si="151"/>
        <v/>
      </c>
      <c r="O976" s="251" t="str">
        <f t="shared" si="152"/>
        <v/>
      </c>
      <c r="P976" s="251" t="str">
        <f t="shared" si="153"/>
        <v/>
      </c>
      <c r="Q976" s="251" t="str">
        <f t="shared" si="154"/>
        <v/>
      </c>
      <c r="R976" s="251" t="str">
        <f t="shared" si="155"/>
        <v/>
      </c>
      <c r="S976" s="252" t="str">
        <f t="shared" si="156"/>
        <v/>
      </c>
      <c r="T976" s="253"/>
      <c r="U976" s="254">
        <v>0.25700000000000001</v>
      </c>
      <c r="V976" s="254">
        <v>0.25600000000000001</v>
      </c>
      <c r="W976" s="254">
        <v>0.255</v>
      </c>
      <c r="X976" s="254">
        <v>0.24299999999999999</v>
      </c>
      <c r="Y976" s="254">
        <v>0.23899999999999999</v>
      </c>
      <c r="Z976" s="254">
        <v>0.22700000000000001</v>
      </c>
    </row>
    <row r="977" spans="13:26" x14ac:dyDescent="0.35">
      <c r="M977" s="250">
        <v>8224</v>
      </c>
      <c r="N977" s="251" t="str">
        <f>IF($R$11&lt;=M977,IF($R$11&gt;=M976+0.01,U977,""),"")</f>
        <v/>
      </c>
      <c r="O977" s="251" t="str">
        <f>IF($R$11&lt;=M977,IF($R$11&gt;=M976+0.01,V977,""),"")</f>
        <v/>
      </c>
      <c r="P977" s="251" t="str">
        <f>IF($R$11&lt;=M977,IF($R$11&gt;=M976+0.01,W977,""),"")</f>
        <v/>
      </c>
      <c r="Q977" s="251" t="str">
        <f>IF($R$11&lt;=M977,IF($R$11&gt;=M976+0.01,X977,""),"")</f>
        <v/>
      </c>
      <c r="R977" s="251" t="str">
        <f>IF($R$11&lt;=M977,IF($R$11&gt;=M976+0.01,Y977,""),"")</f>
        <v/>
      </c>
      <c r="S977" s="252" t="str">
        <f>IF($R$11&lt;=M977,IF($R$11&gt;=M976+0.01,Z977,""),"")</f>
        <v/>
      </c>
      <c r="T977" s="253"/>
      <c r="U977" s="254">
        <v>0.26700000000000002</v>
      </c>
      <c r="V977" s="254">
        <v>0.26600000000000001</v>
      </c>
      <c r="W977" s="254">
        <v>0.26500000000000001</v>
      </c>
      <c r="X977" s="254">
        <v>0.253</v>
      </c>
      <c r="Y977" s="254">
        <v>0.251</v>
      </c>
      <c r="Z977" s="254">
        <v>0.23699999999999999</v>
      </c>
    </row>
    <row r="978" spans="13:26" x14ac:dyDescent="0.35">
      <c r="M978" s="250">
        <v>9178</v>
      </c>
      <c r="N978" s="251" t="str">
        <f>IF($R$11&lt;=M978,IF($R$11&gt;=M977+0.01,U978,""),"")</f>
        <v/>
      </c>
      <c r="O978" s="251" t="str">
        <f>IF($R$11&lt;=M978,IF($R$11&gt;=M977+0.01,V978,""),"")</f>
        <v/>
      </c>
      <c r="P978" s="251" t="str">
        <f>IF($R$11&lt;=M978,IF($R$11&gt;=M977+0.01,W978,""),"")</f>
        <v/>
      </c>
      <c r="Q978" s="251" t="str">
        <f>IF($R$11&lt;=M978,IF($R$11&gt;=M977+0.01,X978,""),"")</f>
        <v/>
      </c>
      <c r="R978" s="251" t="str">
        <f>IF($R$11&lt;=M978,IF($R$11&gt;=M977+0.01,Y978,""),"")</f>
        <v/>
      </c>
      <c r="S978" s="252" t="str">
        <f>IF($R$11&lt;=M978,IF($R$11&gt;=M977+0.01,Z978,""),"")</f>
        <v/>
      </c>
      <c r="T978" s="253"/>
      <c r="U978" s="254">
        <v>0.27600000000000002</v>
      </c>
      <c r="V978" s="254">
        <v>0.27500000000000002</v>
      </c>
      <c r="W978" s="254">
        <v>0.27400000000000002</v>
      </c>
      <c r="X978" s="254">
        <v>0.26300000000000001</v>
      </c>
      <c r="Y978" s="254">
        <v>0.26100000000000001</v>
      </c>
      <c r="Z978" s="254">
        <v>0.249</v>
      </c>
    </row>
    <row r="979" spans="13:26" x14ac:dyDescent="0.35">
      <c r="M979" s="250">
        <v>10232</v>
      </c>
      <c r="N979" s="251" t="str">
        <f>IF($R$11&lt;=M979,IF($R$11&gt;=M978+0.01,U979,""),"")</f>
        <v/>
      </c>
      <c r="O979" s="251" t="str">
        <f>IF($R$11&lt;=M979,IF($R$11&gt;=M978+0.01,V979,""),"")</f>
        <v/>
      </c>
      <c r="P979" s="251" t="str">
        <f>IF($R$11&lt;=M979,IF($R$11&gt;=M978+0.01,W979,""),"")</f>
        <v/>
      </c>
      <c r="Q979" s="251" t="str">
        <f>IF($R$11&lt;=M979,IF($R$11&gt;=M978+0.01,X979,""),"")</f>
        <v/>
      </c>
      <c r="R979" s="251" t="str">
        <f>IF($R$11&lt;=M979,IF($R$11&gt;=M978+0.01,Y979,""),"")</f>
        <v/>
      </c>
      <c r="S979" s="252" t="str">
        <f>IF($R$11&lt;=M979,IF($R$11&gt;=M978+0.01,Z979,""),"")</f>
        <v/>
      </c>
      <c r="T979" s="253"/>
      <c r="U979" s="254">
        <v>0.29099999999999998</v>
      </c>
      <c r="V979" s="254">
        <v>0.28999999999999998</v>
      </c>
      <c r="W979" s="254">
        <v>0.28899999999999998</v>
      </c>
      <c r="X979" s="254">
        <v>0.27700000000000002</v>
      </c>
      <c r="Y979" s="254">
        <v>0.27500000000000002</v>
      </c>
      <c r="Z979" s="254">
        <v>0.26400000000000001</v>
      </c>
    </row>
    <row r="980" spans="13:26" x14ac:dyDescent="0.35">
      <c r="M980" s="250">
        <v>11287</v>
      </c>
      <c r="N980" s="251" t="str">
        <f>IF($R$11&lt;=M980,IF($R$11&gt;=M979+0.01,U980,""),"")</f>
        <v/>
      </c>
      <c r="O980" s="251" t="str">
        <f>IF($R$11&lt;=M980,IF($R$11&gt;=M979+0.01,V980,""),"")</f>
        <v/>
      </c>
      <c r="P980" s="251" t="str">
        <f>IF($R$11&lt;=M980,IF($R$11&gt;=M979+0.01,W980,""),"")</f>
        <v/>
      </c>
      <c r="Q980" s="251" t="str">
        <f>IF($R$11&lt;=M980,IF($R$11&gt;=M979+0.01,X980,""),"")</f>
        <v/>
      </c>
      <c r="R980" s="251" t="str">
        <f>IF($R$11&lt;=M980,IF($R$11&gt;=M979+0.01,Y980,""),"")</f>
        <v/>
      </c>
      <c r="S980" s="252" t="str">
        <f>IF($R$11&lt;=M980,IF($R$11&gt;=M979+0.01,Z980,""),"")</f>
        <v/>
      </c>
      <c r="T980" s="253"/>
      <c r="U980" s="254">
        <v>0.3</v>
      </c>
      <c r="V980" s="254">
        <v>0.29899999999999999</v>
      </c>
      <c r="W980" s="254">
        <v>0.29799999999999999</v>
      </c>
      <c r="X980" s="254">
        <v>0.28699999999999998</v>
      </c>
      <c r="Y980" s="254">
        <v>0.28499999999999998</v>
      </c>
      <c r="Z980" s="254">
        <v>0.27300000000000002</v>
      </c>
    </row>
    <row r="981" spans="13:26" x14ac:dyDescent="0.35">
      <c r="M981" s="250">
        <v>13008</v>
      </c>
      <c r="N981" s="251" t="str">
        <f>IF($R$11&lt;=M981,IF($R$11&gt;=M980+0.01,U981,""),"")</f>
        <v/>
      </c>
      <c r="O981" s="251" t="str">
        <f>IF($R$11&lt;=M981,IF($R$11&gt;=M980+0.01,V981,""),"")</f>
        <v/>
      </c>
      <c r="P981" s="251" t="str">
        <f>IF($R$11&lt;=M981,IF($R$11&gt;=M980+0.01,W981,""),"")</f>
        <v/>
      </c>
      <c r="Q981" s="251" t="str">
        <f>IF($R$11&lt;=M981,IF($R$11&gt;=M980+0.01,X981,""),"")</f>
        <v/>
      </c>
      <c r="R981" s="251" t="str">
        <f>IF($R$11&lt;=M981,IF($R$11&gt;=M980+0.01,Y981,""),"")</f>
        <v/>
      </c>
      <c r="S981" s="252" t="str">
        <f>IF($R$11&lt;=M981,IF($R$11&gt;=M980+0.01,Z981,""),"")</f>
        <v/>
      </c>
      <c r="T981" s="253"/>
      <c r="U981" s="254">
        <v>0.315</v>
      </c>
      <c r="V981" s="254">
        <v>0.314</v>
      </c>
      <c r="W981" s="254">
        <v>0.313</v>
      </c>
      <c r="X981" s="254">
        <v>0.30099999999999999</v>
      </c>
      <c r="Y981" s="254">
        <v>0.29899999999999999</v>
      </c>
      <c r="Z981" s="254">
        <v>0.28799999999999998</v>
      </c>
    </row>
    <row r="982" spans="13:26" x14ac:dyDescent="0.35">
      <c r="M982" s="250">
        <v>13008</v>
      </c>
      <c r="N982" s="251" t="str">
        <f>IF($R$11&gt;=M981+0.01,U982,"")</f>
        <v/>
      </c>
      <c r="O982" s="251" t="str">
        <f>IF($R$11&gt;=M981,V982,"")</f>
        <v/>
      </c>
      <c r="P982" s="251" t="str">
        <f>IF($R$11&gt;=M981,W982,"")</f>
        <v/>
      </c>
      <c r="Q982" s="251" t="str">
        <f>IF($R$11&gt;=M981,X982,"")</f>
        <v/>
      </c>
      <c r="R982" s="252" t="str">
        <f>IF($R$11&gt;=M981,Y982,"")</f>
        <v/>
      </c>
      <c r="S982" s="251" t="str">
        <f>IF($R$11&gt;=M981,Z982,"")</f>
        <v/>
      </c>
      <c r="T982" s="253"/>
      <c r="U982" s="254">
        <v>0.32400000000000001</v>
      </c>
      <c r="V982" s="254">
        <v>0.32300000000000001</v>
      </c>
      <c r="W982" s="254">
        <v>0.32200000000000001</v>
      </c>
      <c r="X982" s="254">
        <v>0.311</v>
      </c>
      <c r="Y982" s="254">
        <v>0.309</v>
      </c>
      <c r="Z982" s="254">
        <v>0.29699999999999999</v>
      </c>
    </row>
    <row r="983" spans="13:26" x14ac:dyDescent="0.35">
      <c r="M983" s="249"/>
      <c r="N983" s="257" t="str">
        <f>IF($A$15=1,IF($A$2=11,IF($I$2=0,SUM(N954:N982),""),""),"")</f>
        <v/>
      </c>
      <c r="O983" s="258" t="str">
        <f>IF($A$15=1,IF($A$2=11,IF($I$2=1,SUM(O954:O982),""),""),"")</f>
        <v/>
      </c>
      <c r="P983" s="258" t="str">
        <f>IF($A$15=1,IF($A$2=11,IF($I$2=2,SUM(P954:P982),""),""),"")</f>
        <v/>
      </c>
      <c r="Q983" s="258" t="str">
        <f>IF($A$15=1,IF($A$2=11,IF($I$2=3,SUM(Q954:Q982),""),""),"")</f>
        <v/>
      </c>
      <c r="R983" s="258" t="str">
        <f>IF($A$15=1,IF($A$2=11,IF($I$2=4,SUM(R954:R982),""),""),"")</f>
        <v/>
      </c>
      <c r="S983" s="259" t="str">
        <f>IF($A$15=1,IF($A$2=11,IF($I$2=5,SUM(S954:S982),""),""),"")</f>
        <v/>
      </c>
      <c r="T983" s="260">
        <f>SUM(N983:S983)</f>
        <v>0</v>
      </c>
      <c r="U983" s="253"/>
      <c r="V983" s="253"/>
      <c r="W983" s="253"/>
      <c r="X983" s="253"/>
      <c r="Y983" s="253"/>
      <c r="Z983" s="253"/>
    </row>
    <row r="984" spans="13:26" x14ac:dyDescent="0.35">
      <c r="M984" s="249"/>
      <c r="N984" s="249"/>
      <c r="O984" s="249"/>
      <c r="P984" s="261"/>
      <c r="Q984" s="261"/>
      <c r="R984" s="261"/>
      <c r="S984" s="249"/>
      <c r="T984" s="253"/>
      <c r="U984" s="253"/>
      <c r="V984" s="253"/>
      <c r="W984" s="253"/>
      <c r="X984" s="253"/>
      <c r="Y984" s="253"/>
      <c r="Z984" s="253"/>
    </row>
    <row r="985" spans="13:26" x14ac:dyDescent="0.35">
      <c r="M985" s="262"/>
      <c r="N985" s="249"/>
      <c r="O985" s="249"/>
      <c r="P985" s="249"/>
      <c r="Q985" s="249"/>
      <c r="R985" s="249"/>
      <c r="S985" s="249"/>
      <c r="T985" s="253"/>
      <c r="U985" s="253"/>
      <c r="V985" s="253"/>
      <c r="W985" s="253"/>
      <c r="X985" s="253"/>
      <c r="Y985" s="253"/>
      <c r="Z985" s="253"/>
    </row>
    <row r="986" spans="13:26" x14ac:dyDescent="0.35">
      <c r="M986" s="249"/>
      <c r="N986" s="249"/>
      <c r="O986" s="249"/>
      <c r="P986" s="249"/>
      <c r="Q986" s="249"/>
      <c r="R986" s="249"/>
      <c r="S986" s="249"/>
      <c r="T986" s="253"/>
      <c r="U986" s="253"/>
      <c r="V986" s="253"/>
      <c r="W986" s="253"/>
      <c r="X986" s="253"/>
      <c r="Y986" s="253"/>
      <c r="Z986" s="253"/>
    </row>
    <row r="987" spans="13:26" x14ac:dyDescent="0.35">
      <c r="M987" s="263" t="s">
        <v>213</v>
      </c>
      <c r="N987" s="264"/>
      <c r="O987" s="263" t="s">
        <v>148</v>
      </c>
      <c r="P987" s="264"/>
      <c r="Q987" s="264"/>
      <c r="R987" s="264"/>
      <c r="S987" s="249"/>
      <c r="T987" s="253"/>
      <c r="U987" s="265" t="str">
        <f>O987</f>
        <v>Tabelas de IRS de retenção na fonte referente a 2018 no Continente</v>
      </c>
      <c r="V987" s="253"/>
      <c r="W987" s="253"/>
      <c r="X987" s="253"/>
      <c r="Y987" s="253"/>
      <c r="Z987" s="253"/>
    </row>
    <row r="988" spans="13:26" x14ac:dyDescent="0.35">
      <c r="M988" s="249"/>
      <c r="N988" s="293" t="s">
        <v>203</v>
      </c>
      <c r="O988" s="249"/>
      <c r="P988" s="249"/>
      <c r="Q988" s="264"/>
      <c r="R988" s="264"/>
      <c r="S988" s="249"/>
      <c r="T988" s="253"/>
      <c r="U988" s="265" t="str">
        <f>N988</f>
        <v>T A B E L A  XV - TRABALHO DEPENDENTE ARTIGO 29.º DA LEI DO ORÇAMENTO DO ESTADO PARA 2018</v>
      </c>
      <c r="V988" s="253"/>
      <c r="W988" s="253"/>
      <c r="X988" s="253"/>
      <c r="Y988" s="253"/>
      <c r="Z988" s="253"/>
    </row>
    <row r="989" spans="13:26" x14ac:dyDescent="0.35">
      <c r="M989" s="266"/>
      <c r="N989" s="264"/>
      <c r="O989" s="263" t="s">
        <v>192</v>
      </c>
      <c r="P989" s="249"/>
      <c r="Q989" s="264"/>
      <c r="R989" s="264"/>
      <c r="S989" s="249"/>
      <c r="T989" s="253"/>
      <c r="U989" s="265" t="str">
        <f>O989</f>
        <v>CASADO DOIS TITULARES - DEFICIENTE</v>
      </c>
      <c r="V989" s="253"/>
      <c r="W989" s="253"/>
      <c r="X989" s="253"/>
      <c r="Y989" s="253"/>
      <c r="Z989" s="253"/>
    </row>
    <row r="990" spans="13:26" x14ac:dyDescent="0.35">
      <c r="M990" s="267" t="s">
        <v>154</v>
      </c>
      <c r="N990" s="268" t="s">
        <v>155</v>
      </c>
      <c r="O990" s="268" t="s">
        <v>156</v>
      </c>
      <c r="P990" s="268" t="s">
        <v>157</v>
      </c>
      <c r="Q990" s="268" t="s">
        <v>158</v>
      </c>
      <c r="R990" s="268" t="s">
        <v>159</v>
      </c>
      <c r="S990" s="268" t="s">
        <v>160</v>
      </c>
      <c r="T990" s="253"/>
      <c r="U990" s="269" t="str">
        <f t="shared" ref="U990:Z990" si="157">N990</f>
        <v>0 dep</v>
      </c>
      <c r="V990" s="269" t="str">
        <f t="shared" si="157"/>
        <v>1 dep</v>
      </c>
      <c r="W990" s="269" t="str">
        <f t="shared" si="157"/>
        <v>2 dep</v>
      </c>
      <c r="X990" s="269" t="str">
        <f t="shared" si="157"/>
        <v>3 dep</v>
      </c>
      <c r="Y990" s="269" t="str">
        <f t="shared" si="157"/>
        <v>4 dep</v>
      </c>
      <c r="Z990" s="269" t="str">
        <f t="shared" si="157"/>
        <v>5 dep. ou +</v>
      </c>
    </row>
    <row r="991" spans="13:26" x14ac:dyDescent="0.35">
      <c r="M991" s="250">
        <v>1310</v>
      </c>
      <c r="N991" s="251" t="str">
        <f>IF($R$11&lt;=M991,IF($R$11&gt;=0,0,""),"")</f>
        <v/>
      </c>
      <c r="O991" s="251" t="str">
        <f>IF($R$11&lt;=M991,IF($R$11&gt;=0,0,""),"")</f>
        <v/>
      </c>
      <c r="P991" s="251" t="str">
        <f>IF($R$11&lt;=M991,IF($R$11&gt;=0,0,""),"")</f>
        <v/>
      </c>
      <c r="Q991" s="251" t="str">
        <f>IF($R$11&lt;=M991,IF($R$11&gt;=0,0,""),"")</f>
        <v/>
      </c>
      <c r="R991" s="251" t="str">
        <f>IF($R$11&lt;=M991,IF($R$11&gt;=0,0,""),"")</f>
        <v/>
      </c>
      <c r="S991" s="251" t="str">
        <f>IF($R$11&lt;=M991,IF($R$11&gt;=0,0,""),"")</f>
        <v/>
      </c>
      <c r="T991" s="253"/>
      <c r="U991" s="254">
        <v>0</v>
      </c>
      <c r="V991" s="254">
        <v>0</v>
      </c>
      <c r="W991" s="254">
        <v>0</v>
      </c>
      <c r="X991" s="254">
        <v>0</v>
      </c>
      <c r="Y991" s="254">
        <v>0</v>
      </c>
      <c r="Z991" s="254">
        <v>0</v>
      </c>
    </row>
    <row r="992" spans="13:26" x14ac:dyDescent="0.35">
      <c r="M992" s="250">
        <v>1414</v>
      </c>
      <c r="N992" s="251" t="str">
        <f t="shared" ref="N992:N1019" si="158">IF($R$11&lt;=M992,IF($R$11&gt;=M991+0.01,U992,""),"")</f>
        <v/>
      </c>
      <c r="O992" s="251" t="str">
        <f t="shared" ref="O992:O1019" si="159">IF($R$11&lt;=M992,IF($R$11&gt;=M991+0.01,V992,""),"")</f>
        <v/>
      </c>
      <c r="P992" s="251" t="str">
        <f t="shared" ref="P992:P1019" si="160">IF($R$11&lt;=M992,IF($R$11&gt;=M991+0.01,W992,""),"")</f>
        <v/>
      </c>
      <c r="Q992" s="251" t="str">
        <f t="shared" ref="Q992:Q1019" si="161">IF($R$11&lt;=M992,IF($R$11&gt;=M991+0.01,X992,""),"")</f>
        <v/>
      </c>
      <c r="R992" s="251" t="str">
        <f t="shared" ref="R992:R1019" si="162">IF($R$11&lt;=M992,IF($R$11&gt;=M991+0.01,Y992,""),"")</f>
        <v/>
      </c>
      <c r="S992" s="252" t="str">
        <f t="shared" ref="S992:S1019" si="163">IF($R$11&lt;=M992,IF($R$11&gt;=M991+0.01,Z992,""),"")</f>
        <v/>
      </c>
      <c r="T992" s="253"/>
      <c r="U992" s="254">
        <v>1.2E-2</v>
      </c>
      <c r="V992" s="254">
        <v>0</v>
      </c>
      <c r="W992" s="254">
        <v>0</v>
      </c>
      <c r="X992" s="254">
        <v>0</v>
      </c>
      <c r="Y992" s="254">
        <v>0</v>
      </c>
      <c r="Z992" s="254">
        <v>0</v>
      </c>
    </row>
    <row r="993" spans="13:26" x14ac:dyDescent="0.35">
      <c r="M993" s="250">
        <v>1455</v>
      </c>
      <c r="N993" s="251" t="str">
        <f t="shared" si="158"/>
        <v/>
      </c>
      <c r="O993" s="251" t="str">
        <f t="shared" si="159"/>
        <v/>
      </c>
      <c r="P993" s="251" t="str">
        <f t="shared" si="160"/>
        <v/>
      </c>
      <c r="Q993" s="251" t="str">
        <f t="shared" si="161"/>
        <v/>
      </c>
      <c r="R993" s="251" t="str">
        <f t="shared" si="162"/>
        <v/>
      </c>
      <c r="S993" s="252" t="str">
        <f t="shared" si="163"/>
        <v/>
      </c>
      <c r="T993" s="253"/>
      <c r="U993" s="254">
        <v>3.5999999999999997E-2</v>
      </c>
      <c r="V993" s="254">
        <v>2.8000000000000001E-2</v>
      </c>
      <c r="W993" s="254">
        <v>0</v>
      </c>
      <c r="X993" s="254">
        <v>0</v>
      </c>
      <c r="Y993" s="254">
        <v>0</v>
      </c>
      <c r="Z993" s="254">
        <v>0</v>
      </c>
    </row>
    <row r="994" spans="13:26" x14ac:dyDescent="0.35">
      <c r="M994" s="250">
        <v>1639</v>
      </c>
      <c r="N994" s="251">
        <f t="shared" si="158"/>
        <v>4.5999999999999999E-2</v>
      </c>
      <c r="O994" s="251">
        <f t="shared" si="159"/>
        <v>3.7999999999999999E-2</v>
      </c>
      <c r="P994" s="251">
        <f t="shared" si="160"/>
        <v>1.9E-2</v>
      </c>
      <c r="Q994" s="251">
        <f t="shared" si="161"/>
        <v>0</v>
      </c>
      <c r="R994" s="251">
        <f t="shared" si="162"/>
        <v>0</v>
      </c>
      <c r="S994" s="252">
        <f t="shared" si="163"/>
        <v>0</v>
      </c>
      <c r="T994" s="253"/>
      <c r="U994" s="254">
        <v>4.5999999999999999E-2</v>
      </c>
      <c r="V994" s="254">
        <v>3.7999999999999999E-2</v>
      </c>
      <c r="W994" s="254">
        <v>1.9E-2</v>
      </c>
      <c r="X994" s="254">
        <v>0</v>
      </c>
      <c r="Y994" s="254">
        <v>0</v>
      </c>
      <c r="Z994" s="254">
        <v>0</v>
      </c>
    </row>
    <row r="995" spans="13:26" x14ac:dyDescent="0.35">
      <c r="M995" s="250">
        <v>1956</v>
      </c>
      <c r="N995" s="251" t="str">
        <f t="shared" si="158"/>
        <v/>
      </c>
      <c r="O995" s="251" t="str">
        <f t="shared" si="159"/>
        <v/>
      </c>
      <c r="P995" s="251" t="str">
        <f t="shared" si="160"/>
        <v/>
      </c>
      <c r="Q995" s="251" t="str">
        <f t="shared" si="161"/>
        <v/>
      </c>
      <c r="R995" s="251" t="str">
        <f t="shared" si="162"/>
        <v/>
      </c>
      <c r="S995" s="252" t="str">
        <f t="shared" si="163"/>
        <v/>
      </c>
      <c r="T995" s="253"/>
      <c r="U995" s="254">
        <v>6.6000000000000003E-2</v>
      </c>
      <c r="V995" s="254">
        <v>5.8000000000000003E-2</v>
      </c>
      <c r="W995" s="254">
        <v>4.1000000000000002E-2</v>
      </c>
      <c r="X995" s="254">
        <v>2.3E-2</v>
      </c>
      <c r="Y995" s="254">
        <v>1.4999999999999999E-2</v>
      </c>
      <c r="Z995" s="254">
        <v>0</v>
      </c>
    </row>
    <row r="996" spans="13:26" x14ac:dyDescent="0.35">
      <c r="M996" s="250">
        <v>2079</v>
      </c>
      <c r="N996" s="251" t="str">
        <f t="shared" si="158"/>
        <v/>
      </c>
      <c r="O996" s="251" t="str">
        <f t="shared" si="159"/>
        <v/>
      </c>
      <c r="P996" s="251" t="str">
        <f t="shared" si="160"/>
        <v/>
      </c>
      <c r="Q996" s="251" t="str">
        <f t="shared" si="161"/>
        <v/>
      </c>
      <c r="R996" s="251" t="str">
        <f t="shared" si="162"/>
        <v/>
      </c>
      <c r="S996" s="252" t="str">
        <f t="shared" si="163"/>
        <v/>
      </c>
      <c r="T996" s="253"/>
      <c r="U996" s="254">
        <v>0.08</v>
      </c>
      <c r="V996" s="254">
        <v>7.3999999999999996E-2</v>
      </c>
      <c r="W996" s="254">
        <v>5.5E-2</v>
      </c>
      <c r="X996" s="254">
        <v>3.7999999999999999E-2</v>
      </c>
      <c r="Y996" s="254">
        <v>0.03</v>
      </c>
      <c r="Z996" s="254">
        <v>2.1999999999999999E-2</v>
      </c>
    </row>
    <row r="997" spans="13:26" x14ac:dyDescent="0.35">
      <c r="M997" s="250">
        <v>2213</v>
      </c>
      <c r="N997" s="251" t="str">
        <f t="shared" si="158"/>
        <v/>
      </c>
      <c r="O997" s="251" t="str">
        <f t="shared" si="159"/>
        <v/>
      </c>
      <c r="P997" s="251" t="str">
        <f t="shared" si="160"/>
        <v/>
      </c>
      <c r="Q997" s="251" t="str">
        <f t="shared" si="161"/>
        <v/>
      </c>
      <c r="R997" s="251" t="str">
        <f t="shared" si="162"/>
        <v/>
      </c>
      <c r="S997" s="252" t="str">
        <f t="shared" si="163"/>
        <v/>
      </c>
      <c r="T997" s="253"/>
      <c r="U997" s="254">
        <v>9.9000000000000005E-2</v>
      </c>
      <c r="V997" s="254">
        <v>8.3000000000000004E-2</v>
      </c>
      <c r="W997" s="254">
        <v>7.4999999999999997E-2</v>
      </c>
      <c r="X997" s="254">
        <v>5.7000000000000002E-2</v>
      </c>
      <c r="Y997" s="254">
        <v>0.04</v>
      </c>
      <c r="Z997" s="254">
        <v>3.2000000000000001E-2</v>
      </c>
    </row>
    <row r="998" spans="13:26" x14ac:dyDescent="0.35">
      <c r="M998" s="250">
        <v>2314</v>
      </c>
      <c r="N998" s="251" t="str">
        <f t="shared" si="158"/>
        <v/>
      </c>
      <c r="O998" s="251" t="str">
        <f t="shared" si="159"/>
        <v/>
      </c>
      <c r="P998" s="251" t="str">
        <f t="shared" si="160"/>
        <v/>
      </c>
      <c r="Q998" s="251" t="str">
        <f t="shared" si="161"/>
        <v/>
      </c>
      <c r="R998" s="251" t="str">
        <f t="shared" si="162"/>
        <v/>
      </c>
      <c r="S998" s="252" t="str">
        <f t="shared" si="163"/>
        <v/>
      </c>
      <c r="T998" s="253"/>
      <c r="U998" s="254">
        <v>0.123</v>
      </c>
      <c r="V998" s="254">
        <v>0.107</v>
      </c>
      <c r="W998" s="254">
        <v>0.09</v>
      </c>
      <c r="X998" s="254">
        <v>7.2999999999999995E-2</v>
      </c>
      <c r="Y998" s="254">
        <v>6.4000000000000001E-2</v>
      </c>
      <c r="Z998" s="254">
        <v>5.6000000000000001E-2</v>
      </c>
    </row>
    <row r="999" spans="13:26" x14ac:dyDescent="0.35">
      <c r="M999" s="250">
        <v>2479</v>
      </c>
      <c r="N999" s="251" t="str">
        <f t="shared" si="158"/>
        <v/>
      </c>
      <c r="O999" s="251" t="str">
        <f t="shared" si="159"/>
        <v/>
      </c>
      <c r="P999" s="251" t="str">
        <f t="shared" si="160"/>
        <v/>
      </c>
      <c r="Q999" s="251" t="str">
        <f t="shared" si="161"/>
        <v/>
      </c>
      <c r="R999" s="251" t="str">
        <f t="shared" si="162"/>
        <v/>
      </c>
      <c r="S999" s="252" t="str">
        <f t="shared" si="163"/>
        <v/>
      </c>
      <c r="T999" s="253"/>
      <c r="U999" s="254">
        <v>0.14299999999999999</v>
      </c>
      <c r="V999" s="254">
        <v>0.126</v>
      </c>
      <c r="W999" s="254">
        <v>0.109</v>
      </c>
      <c r="X999" s="254">
        <v>9.1999999999999998E-2</v>
      </c>
      <c r="Y999" s="254">
        <v>7.3999999999999996E-2</v>
      </c>
      <c r="Z999" s="254">
        <v>6.6000000000000003E-2</v>
      </c>
    </row>
    <row r="1000" spans="13:26" x14ac:dyDescent="0.35">
      <c r="M1000" s="250">
        <v>2561</v>
      </c>
      <c r="N1000" s="251" t="str">
        <f t="shared" si="158"/>
        <v/>
      </c>
      <c r="O1000" s="251" t="str">
        <f t="shared" si="159"/>
        <v/>
      </c>
      <c r="P1000" s="251" t="str">
        <f t="shared" si="160"/>
        <v/>
      </c>
      <c r="Q1000" s="251" t="str">
        <f t="shared" si="161"/>
        <v/>
      </c>
      <c r="R1000" s="251" t="str">
        <f t="shared" si="162"/>
        <v/>
      </c>
      <c r="S1000" s="252" t="str">
        <f t="shared" si="163"/>
        <v/>
      </c>
      <c r="T1000" s="253"/>
      <c r="U1000" s="254">
        <v>0.152</v>
      </c>
      <c r="V1000" s="254">
        <v>0.13600000000000001</v>
      </c>
      <c r="W1000" s="254">
        <v>0.128</v>
      </c>
      <c r="X1000" s="254">
        <v>0.111</v>
      </c>
      <c r="Y1000" s="254">
        <v>9.4E-2</v>
      </c>
      <c r="Z1000" s="254">
        <v>8.5999999999999993E-2</v>
      </c>
    </row>
    <row r="1001" spans="13:26" x14ac:dyDescent="0.35">
      <c r="M1001" s="250">
        <v>2663</v>
      </c>
      <c r="N1001" s="251" t="str">
        <f t="shared" si="158"/>
        <v/>
      </c>
      <c r="O1001" s="251" t="str">
        <f t="shared" si="159"/>
        <v/>
      </c>
      <c r="P1001" s="251" t="str">
        <f t="shared" si="160"/>
        <v/>
      </c>
      <c r="Q1001" s="251" t="str">
        <f t="shared" si="161"/>
        <v/>
      </c>
      <c r="R1001" s="251" t="str">
        <f t="shared" si="162"/>
        <v/>
      </c>
      <c r="S1001" s="252" t="str">
        <f t="shared" si="163"/>
        <v/>
      </c>
      <c r="T1001" s="253"/>
      <c r="U1001" s="254">
        <v>0.16300000000000001</v>
      </c>
      <c r="V1001" s="254">
        <v>0.14599999999999999</v>
      </c>
      <c r="W1001" s="254">
        <v>0.13800000000000001</v>
      </c>
      <c r="X1001" s="254">
        <v>0.121</v>
      </c>
      <c r="Y1001" s="254">
        <v>0.104</v>
      </c>
      <c r="Z1001" s="254">
        <v>9.6000000000000002E-2</v>
      </c>
    </row>
    <row r="1002" spans="13:26" x14ac:dyDescent="0.35">
      <c r="M1002" s="250">
        <v>2929</v>
      </c>
      <c r="N1002" s="251" t="str">
        <f t="shared" si="158"/>
        <v/>
      </c>
      <c r="O1002" s="251" t="str">
        <f t="shared" si="159"/>
        <v/>
      </c>
      <c r="P1002" s="251" t="str">
        <f t="shared" si="160"/>
        <v/>
      </c>
      <c r="Q1002" s="251" t="str">
        <f t="shared" si="161"/>
        <v/>
      </c>
      <c r="R1002" s="251" t="str">
        <f t="shared" si="162"/>
        <v/>
      </c>
      <c r="S1002" s="252" t="str">
        <f t="shared" si="163"/>
        <v/>
      </c>
      <c r="T1002" s="253"/>
      <c r="U1002" s="254">
        <v>0.17199999999999999</v>
      </c>
      <c r="V1002" s="254">
        <v>0.156</v>
      </c>
      <c r="W1002" s="254">
        <v>0.14799999999999999</v>
      </c>
      <c r="X1002" s="254">
        <v>0.13100000000000001</v>
      </c>
      <c r="Y1002" s="254">
        <v>0.114</v>
      </c>
      <c r="Z1002" s="254">
        <v>0.106</v>
      </c>
    </row>
    <row r="1003" spans="13:26" x14ac:dyDescent="0.35">
      <c r="M1003" s="250">
        <v>3247</v>
      </c>
      <c r="N1003" s="251" t="str">
        <f t="shared" si="158"/>
        <v/>
      </c>
      <c r="O1003" s="251" t="str">
        <f t="shared" si="159"/>
        <v/>
      </c>
      <c r="P1003" s="251" t="str">
        <f t="shared" si="160"/>
        <v/>
      </c>
      <c r="Q1003" s="251" t="str">
        <f t="shared" si="161"/>
        <v/>
      </c>
      <c r="R1003" s="251" t="str">
        <f t="shared" si="162"/>
        <v/>
      </c>
      <c r="S1003" s="252" t="str">
        <f t="shared" si="163"/>
        <v/>
      </c>
      <c r="T1003" s="253"/>
      <c r="U1003" s="254">
        <v>0.183</v>
      </c>
      <c r="V1003" s="254">
        <v>0.17100000000000001</v>
      </c>
      <c r="W1003" s="254">
        <v>0.16700000000000001</v>
      </c>
      <c r="X1003" s="254">
        <v>0.153</v>
      </c>
      <c r="Y1003" s="254">
        <v>0.14000000000000001</v>
      </c>
      <c r="Z1003" s="254">
        <v>0.13600000000000001</v>
      </c>
    </row>
    <row r="1004" spans="13:26" x14ac:dyDescent="0.35">
      <c r="M1004" s="250">
        <v>3585</v>
      </c>
      <c r="N1004" s="251" t="str">
        <f t="shared" si="158"/>
        <v/>
      </c>
      <c r="O1004" s="251" t="str">
        <f t="shared" si="159"/>
        <v/>
      </c>
      <c r="P1004" s="251" t="str">
        <f t="shared" si="160"/>
        <v/>
      </c>
      <c r="Q1004" s="251" t="str">
        <f t="shared" si="161"/>
        <v/>
      </c>
      <c r="R1004" s="251" t="str">
        <f t="shared" si="162"/>
        <v/>
      </c>
      <c r="S1004" s="252" t="str">
        <f t="shared" si="163"/>
        <v/>
      </c>
      <c r="T1004" s="253"/>
      <c r="U1004" s="254">
        <v>0.19500000000000001</v>
      </c>
      <c r="V1004" s="254">
        <v>0.182</v>
      </c>
      <c r="W1004" s="254">
        <v>0.17799999999999999</v>
      </c>
      <c r="X1004" s="254">
        <v>0.16500000000000001</v>
      </c>
      <c r="Y1004" s="254">
        <v>0.151</v>
      </c>
      <c r="Z1004" s="254">
        <v>0.14699999999999999</v>
      </c>
    </row>
    <row r="1005" spans="13:26" x14ac:dyDescent="0.35">
      <c r="M1005" s="250">
        <v>3718</v>
      </c>
      <c r="N1005" s="251" t="str">
        <f t="shared" si="158"/>
        <v/>
      </c>
      <c r="O1005" s="251" t="str">
        <f t="shared" si="159"/>
        <v/>
      </c>
      <c r="P1005" s="251" t="str">
        <f t="shared" si="160"/>
        <v/>
      </c>
      <c r="Q1005" s="251" t="str">
        <f t="shared" si="161"/>
        <v/>
      </c>
      <c r="R1005" s="251" t="str">
        <f t="shared" si="162"/>
        <v/>
      </c>
      <c r="S1005" s="252" t="str">
        <f t="shared" si="163"/>
        <v/>
      </c>
      <c r="T1005" s="253"/>
      <c r="U1005" s="254">
        <v>0.20499999999999999</v>
      </c>
      <c r="V1005" s="254">
        <v>0.19400000000000001</v>
      </c>
      <c r="W1005" s="254">
        <v>0.188</v>
      </c>
      <c r="X1005" s="254">
        <v>0.17399999999999999</v>
      </c>
      <c r="Y1005" s="254">
        <v>0.17100000000000001</v>
      </c>
      <c r="Z1005" s="254">
        <v>0.157</v>
      </c>
    </row>
    <row r="1006" spans="13:26" x14ac:dyDescent="0.35">
      <c r="M1006" s="250">
        <v>3933</v>
      </c>
      <c r="N1006" s="251" t="str">
        <f t="shared" si="158"/>
        <v/>
      </c>
      <c r="O1006" s="251" t="str">
        <f t="shared" si="159"/>
        <v/>
      </c>
      <c r="P1006" s="251" t="str">
        <f t="shared" si="160"/>
        <v/>
      </c>
      <c r="Q1006" s="251" t="str">
        <f t="shared" si="161"/>
        <v/>
      </c>
      <c r="R1006" s="251" t="str">
        <f t="shared" si="162"/>
        <v/>
      </c>
      <c r="S1006" s="252" t="str">
        <f t="shared" si="163"/>
        <v/>
      </c>
      <c r="T1006" s="253"/>
      <c r="U1006" s="254">
        <v>0.215</v>
      </c>
      <c r="V1006" s="254">
        <v>0.20399999999999999</v>
      </c>
      <c r="W1006" s="254">
        <v>0.2</v>
      </c>
      <c r="X1006" s="254">
        <v>0.184</v>
      </c>
      <c r="Y1006" s="254">
        <v>0.18</v>
      </c>
      <c r="Z1006" s="254">
        <v>0.16700000000000001</v>
      </c>
    </row>
    <row r="1007" spans="13:26" x14ac:dyDescent="0.35">
      <c r="M1007" s="250">
        <v>4353</v>
      </c>
      <c r="N1007" s="251" t="str">
        <f t="shared" si="158"/>
        <v/>
      </c>
      <c r="O1007" s="251" t="str">
        <f t="shared" si="159"/>
        <v/>
      </c>
      <c r="P1007" s="251" t="str">
        <f t="shared" si="160"/>
        <v/>
      </c>
      <c r="Q1007" s="251" t="str">
        <f t="shared" si="161"/>
        <v/>
      </c>
      <c r="R1007" s="251" t="str">
        <f t="shared" si="162"/>
        <v/>
      </c>
      <c r="S1007" s="252" t="str">
        <f t="shared" si="163"/>
        <v/>
      </c>
      <c r="T1007" s="253"/>
      <c r="U1007" s="254">
        <v>0.22900000000000001</v>
      </c>
      <c r="V1007" s="254">
        <v>0.219</v>
      </c>
      <c r="W1007" s="254">
        <v>0.215</v>
      </c>
      <c r="X1007" s="254">
        <v>0.20100000000000001</v>
      </c>
      <c r="Y1007" s="254">
        <v>0.19500000000000001</v>
      </c>
      <c r="Z1007" s="254">
        <v>0.18099999999999999</v>
      </c>
    </row>
    <row r="1008" spans="13:26" x14ac:dyDescent="0.35">
      <c r="M1008" s="250">
        <v>4620</v>
      </c>
      <c r="N1008" s="251" t="str">
        <f t="shared" si="158"/>
        <v/>
      </c>
      <c r="O1008" s="251" t="str">
        <f t="shared" si="159"/>
        <v/>
      </c>
      <c r="P1008" s="251" t="str">
        <f t="shared" si="160"/>
        <v/>
      </c>
      <c r="Q1008" s="251" t="str">
        <f t="shared" si="161"/>
        <v/>
      </c>
      <c r="R1008" s="251" t="str">
        <f t="shared" si="162"/>
        <v/>
      </c>
      <c r="S1008" s="252" t="str">
        <f t="shared" si="163"/>
        <v/>
      </c>
      <c r="T1008" s="253"/>
      <c r="U1008" s="254">
        <v>0.23899999999999999</v>
      </c>
      <c r="V1008" s="254">
        <v>0.22800000000000001</v>
      </c>
      <c r="W1008" s="254">
        <v>0.224</v>
      </c>
      <c r="X1008" s="254">
        <v>0.21099999999999999</v>
      </c>
      <c r="Y1008" s="254">
        <v>0.20699999999999999</v>
      </c>
      <c r="Z1008" s="254">
        <v>0.20100000000000001</v>
      </c>
    </row>
    <row r="1009" spans="13:26" x14ac:dyDescent="0.35">
      <c r="M1009" s="250">
        <v>4916</v>
      </c>
      <c r="N1009" s="251" t="str">
        <f t="shared" si="158"/>
        <v/>
      </c>
      <c r="O1009" s="251" t="str">
        <f t="shared" si="159"/>
        <v/>
      </c>
      <c r="P1009" s="251" t="str">
        <f t="shared" si="160"/>
        <v/>
      </c>
      <c r="Q1009" s="251" t="str">
        <f t="shared" si="161"/>
        <v/>
      </c>
      <c r="R1009" s="251" t="str">
        <f t="shared" si="162"/>
        <v/>
      </c>
      <c r="S1009" s="252" t="str">
        <f t="shared" si="163"/>
        <v/>
      </c>
      <c r="T1009" s="253"/>
      <c r="U1009" s="254">
        <v>0.249</v>
      </c>
      <c r="V1009" s="254">
        <v>0.23799999999999999</v>
      </c>
      <c r="W1009" s="254">
        <v>0.23400000000000001</v>
      </c>
      <c r="X1009" s="254">
        <v>0.221</v>
      </c>
      <c r="Y1009" s="254">
        <v>0.217</v>
      </c>
      <c r="Z1009" s="254">
        <v>0.21299999999999999</v>
      </c>
    </row>
    <row r="1010" spans="13:26" x14ac:dyDescent="0.35">
      <c r="M1010" s="250">
        <v>5204</v>
      </c>
      <c r="N1010" s="251" t="str">
        <f t="shared" si="158"/>
        <v/>
      </c>
      <c r="O1010" s="251" t="str">
        <f t="shared" si="159"/>
        <v/>
      </c>
      <c r="P1010" s="251" t="str">
        <f t="shared" si="160"/>
        <v/>
      </c>
      <c r="Q1010" s="251" t="str">
        <f t="shared" si="161"/>
        <v/>
      </c>
      <c r="R1010" s="251" t="str">
        <f t="shared" si="162"/>
        <v/>
      </c>
      <c r="S1010" s="252" t="str">
        <f t="shared" si="163"/>
        <v/>
      </c>
      <c r="T1010" s="253"/>
      <c r="U1010" s="254">
        <v>0.25900000000000001</v>
      </c>
      <c r="V1010" s="254">
        <v>0.248</v>
      </c>
      <c r="W1010" s="254">
        <v>0.24399999999999999</v>
      </c>
      <c r="X1010" s="254">
        <v>0.23</v>
      </c>
      <c r="Y1010" s="254">
        <v>0.22600000000000001</v>
      </c>
      <c r="Z1010" s="254">
        <v>0.222</v>
      </c>
    </row>
    <row r="1011" spans="13:26" x14ac:dyDescent="0.35">
      <c r="M1011" s="250">
        <v>5634</v>
      </c>
      <c r="N1011" s="251" t="str">
        <f t="shared" si="158"/>
        <v/>
      </c>
      <c r="O1011" s="251" t="str">
        <f t="shared" si="159"/>
        <v/>
      </c>
      <c r="P1011" s="251" t="str">
        <f t="shared" si="160"/>
        <v/>
      </c>
      <c r="Q1011" s="251" t="str">
        <f t="shared" si="161"/>
        <v/>
      </c>
      <c r="R1011" s="251" t="str">
        <f t="shared" si="162"/>
        <v/>
      </c>
      <c r="S1011" s="252" t="str">
        <f t="shared" si="163"/>
        <v/>
      </c>
      <c r="T1011" s="253"/>
      <c r="U1011" s="254">
        <v>0.26900000000000002</v>
      </c>
      <c r="V1011" s="254">
        <v>0.25800000000000001</v>
      </c>
      <c r="W1011" s="254">
        <v>0.254</v>
      </c>
      <c r="X1011" s="254">
        <v>0.24</v>
      </c>
      <c r="Y1011" s="254">
        <v>0.23599999999999999</v>
      </c>
      <c r="Z1011" s="254">
        <v>0.23200000000000001</v>
      </c>
    </row>
    <row r="1012" spans="13:26" x14ac:dyDescent="0.35">
      <c r="M1012" s="250">
        <v>6064</v>
      </c>
      <c r="N1012" s="251" t="str">
        <f t="shared" si="158"/>
        <v/>
      </c>
      <c r="O1012" s="251" t="str">
        <f t="shared" si="159"/>
        <v/>
      </c>
      <c r="P1012" s="251" t="str">
        <f t="shared" si="160"/>
        <v/>
      </c>
      <c r="Q1012" s="251" t="str">
        <f t="shared" si="161"/>
        <v/>
      </c>
      <c r="R1012" s="251" t="str">
        <f t="shared" si="162"/>
        <v/>
      </c>
      <c r="S1012" s="252" t="str">
        <f t="shared" si="163"/>
        <v/>
      </c>
      <c r="T1012" s="253"/>
      <c r="U1012" s="254">
        <v>0.28299999999999997</v>
      </c>
      <c r="V1012" s="254">
        <v>0.27200000000000002</v>
      </c>
      <c r="W1012" s="254">
        <v>0.26900000000000002</v>
      </c>
      <c r="X1012" s="254">
        <v>0.255</v>
      </c>
      <c r="Y1012" s="254">
        <v>0.251</v>
      </c>
      <c r="Z1012" s="254">
        <v>0.247</v>
      </c>
    </row>
    <row r="1013" spans="13:26" x14ac:dyDescent="0.35">
      <c r="M1013" s="250">
        <v>6768</v>
      </c>
      <c r="N1013" s="251" t="str">
        <f t="shared" si="158"/>
        <v/>
      </c>
      <c r="O1013" s="251" t="str">
        <f t="shared" si="159"/>
        <v/>
      </c>
      <c r="P1013" s="251" t="str">
        <f t="shared" si="160"/>
        <v/>
      </c>
      <c r="Q1013" s="251" t="str">
        <f t="shared" si="161"/>
        <v/>
      </c>
      <c r="R1013" s="251" t="str">
        <f t="shared" si="162"/>
        <v/>
      </c>
      <c r="S1013" s="252" t="str">
        <f t="shared" si="163"/>
        <v/>
      </c>
      <c r="T1013" s="253"/>
      <c r="U1013" s="254">
        <v>0.29699999999999999</v>
      </c>
      <c r="V1013" s="254">
        <v>0.28899999999999998</v>
      </c>
      <c r="W1013" s="254">
        <v>0.28699999999999998</v>
      </c>
      <c r="X1013" s="254">
        <v>0.27500000000000002</v>
      </c>
      <c r="Y1013" s="254">
        <v>0.27300000000000002</v>
      </c>
      <c r="Z1013" s="254">
        <v>0.27100000000000002</v>
      </c>
    </row>
    <row r="1014" spans="13:26" x14ac:dyDescent="0.35">
      <c r="M1014" s="250">
        <v>7236</v>
      </c>
      <c r="N1014" s="251" t="str">
        <f>IF($R$11&lt;=M1014,IF($R$11&gt;=M1013+0.01,U1014,""),"")</f>
        <v/>
      </c>
      <c r="O1014" s="251" t="str">
        <f>IF($R$11&lt;=M1014,IF($R$11&gt;=M1013+0.01,V1014,""),"")</f>
        <v/>
      </c>
      <c r="P1014" s="251" t="str">
        <f>IF($R$11&lt;=M1014,IF($R$11&gt;=M1013+0.01,W1014,""),"")</f>
        <v/>
      </c>
      <c r="Q1014" s="251" t="str">
        <f>IF($R$11&lt;=M1014,IF($R$11&gt;=M1013+0.01,X1014,""),"")</f>
        <v/>
      </c>
      <c r="R1014" s="251" t="str">
        <f>IF($R$11&lt;=M1014,IF($R$11&gt;=M1013+0.01,Y1014,""),"")</f>
        <v/>
      </c>
      <c r="S1014" s="252" t="str">
        <f>IF($R$11&lt;=M1014,IF($R$11&gt;=M1013+0.01,Z1014,""),"")</f>
        <v/>
      </c>
      <c r="T1014" s="253"/>
      <c r="U1014" s="254">
        <v>0.307</v>
      </c>
      <c r="V1014" s="254">
        <v>0.3</v>
      </c>
      <c r="W1014" s="254">
        <v>0.29599999999999999</v>
      </c>
      <c r="X1014" s="254">
        <v>0.28499999999999998</v>
      </c>
      <c r="Y1014" s="254">
        <v>0.28299999999999997</v>
      </c>
      <c r="Z1014" s="254">
        <v>0.28100000000000003</v>
      </c>
    </row>
    <row r="1015" spans="13:26" x14ac:dyDescent="0.35">
      <c r="M1015" s="250">
        <v>7817</v>
      </c>
      <c r="N1015" s="251" t="str">
        <f>IF($R$11&lt;=M1015,IF($R$11&gt;=M1014+0.01,U1015,""),"")</f>
        <v/>
      </c>
      <c r="O1015" s="251" t="str">
        <f>IF($R$11&lt;=M1015,IF($R$11&gt;=M1014+0.01,V1015,""),"")</f>
        <v/>
      </c>
      <c r="P1015" s="251" t="str">
        <f>IF($R$11&lt;=M1015,IF($R$11&gt;=M1014+0.01,W1015,""),"")</f>
        <v/>
      </c>
      <c r="Q1015" s="251" t="str">
        <f>IF($R$11&lt;=M1015,IF($R$11&gt;=M1014+0.01,X1015,""),"")</f>
        <v/>
      </c>
      <c r="R1015" s="251" t="str">
        <f>IF($R$11&lt;=M1015,IF($R$11&gt;=M1014+0.01,Y1015,""),"")</f>
        <v/>
      </c>
      <c r="S1015" s="252" t="str">
        <f>IF($R$11&lt;=M1015,IF($R$11&gt;=M1014+0.01,Z1015,""),"")</f>
        <v/>
      </c>
      <c r="T1015" s="253"/>
      <c r="U1015" s="254">
        <v>0.317</v>
      </c>
      <c r="V1015" s="254">
        <v>0.31</v>
      </c>
      <c r="W1015" s="254">
        <v>0.308</v>
      </c>
      <c r="X1015" s="254">
        <v>0.29399999999999998</v>
      </c>
      <c r="Y1015" s="254">
        <v>0.29299999999999998</v>
      </c>
      <c r="Z1015" s="254">
        <v>0.29099999999999998</v>
      </c>
    </row>
    <row r="1016" spans="13:26" x14ac:dyDescent="0.35">
      <c r="M1016" s="250">
        <v>8500</v>
      </c>
      <c r="N1016" s="251" t="str">
        <f>IF($R$11&lt;=M1016,IF($R$11&gt;=M1015+0.01,U1016,""),"")</f>
        <v/>
      </c>
      <c r="O1016" s="251" t="str">
        <f>IF($R$11&lt;=M1016,IF($R$11&gt;=M1015+0.01,V1016,""),"")</f>
        <v/>
      </c>
      <c r="P1016" s="251" t="str">
        <f>IF($R$11&lt;=M1016,IF($R$11&gt;=M1015+0.01,W1016,""),"")</f>
        <v/>
      </c>
      <c r="Q1016" s="251" t="str">
        <f>IF($R$11&lt;=M1016,IF($R$11&gt;=M1015+0.01,X1016,""),"")</f>
        <v/>
      </c>
      <c r="R1016" s="251" t="str">
        <f>IF($R$11&lt;=M1016,IF($R$11&gt;=M1015+0.01,Y1016,""),"")</f>
        <v/>
      </c>
      <c r="S1016" s="252" t="str">
        <f>IF($R$11&lt;=M1016,IF($R$11&gt;=M1015+0.01,Z1016,""),"")</f>
        <v/>
      </c>
      <c r="T1016" s="253"/>
      <c r="U1016" s="254">
        <v>0.32600000000000001</v>
      </c>
      <c r="V1016" s="254">
        <v>0.31900000000000001</v>
      </c>
      <c r="W1016" s="254">
        <v>0.318</v>
      </c>
      <c r="X1016" s="254">
        <v>0.30599999999999999</v>
      </c>
      <c r="Y1016" s="254">
        <v>0.30199999999999999</v>
      </c>
      <c r="Z1016" s="254">
        <v>0.3</v>
      </c>
    </row>
    <row r="1017" spans="13:26" x14ac:dyDescent="0.35">
      <c r="M1017" s="250">
        <v>9284</v>
      </c>
      <c r="N1017" s="251" t="str">
        <f>IF($R$11&lt;=M1017,IF($R$11&gt;=M1016+0.01,U1017,""),"")</f>
        <v/>
      </c>
      <c r="O1017" s="251" t="str">
        <f>IF($R$11&lt;=M1017,IF($R$11&gt;=M1016+0.01,V1017,""),"")</f>
        <v/>
      </c>
      <c r="P1017" s="251" t="str">
        <f>IF($R$11&lt;=M1017,IF($R$11&gt;=M1016+0.01,W1017,""),"")</f>
        <v/>
      </c>
      <c r="Q1017" s="251" t="str">
        <f>IF($R$11&lt;=M1017,IF($R$11&gt;=M1016+0.01,X1017,""),"")</f>
        <v/>
      </c>
      <c r="R1017" s="251" t="str">
        <f>IF($R$11&lt;=M1017,IF($R$11&gt;=M1016+0.01,Y1017,""),"")</f>
        <v/>
      </c>
      <c r="S1017" s="252" t="str">
        <f>IF($R$11&lt;=M1017,IF($R$11&gt;=M1016+0.01,Z1017,""),"")</f>
        <v/>
      </c>
      <c r="T1017" s="253"/>
      <c r="U1017" s="254">
        <v>0.33600000000000002</v>
      </c>
      <c r="V1017" s="254">
        <v>0.32900000000000001</v>
      </c>
      <c r="W1017" s="254">
        <v>0.32700000000000001</v>
      </c>
      <c r="X1017" s="254">
        <v>0.316</v>
      </c>
      <c r="Y1017" s="254">
        <v>0.314</v>
      </c>
      <c r="Z1017" s="254">
        <v>0.31</v>
      </c>
    </row>
    <row r="1018" spans="13:26" x14ac:dyDescent="0.35">
      <c r="M1018" s="250">
        <v>10018</v>
      </c>
      <c r="N1018" s="251" t="str">
        <f>IF($R$11&lt;=M1018,IF($R$11&gt;=M1017+0.01,U1018,""),"")</f>
        <v/>
      </c>
      <c r="O1018" s="251" t="str">
        <f>IF($R$11&lt;=M1018,IF($R$11&gt;=M1017+0.01,V1018,""),"")</f>
        <v/>
      </c>
      <c r="P1018" s="251" t="str">
        <f>IF($R$11&lt;=M1018,IF($R$11&gt;=M1017+0.01,W1018,""),"")</f>
        <v/>
      </c>
      <c r="Q1018" s="251" t="str">
        <f>IF($R$11&lt;=M1018,IF($R$11&gt;=M1017+0.01,X1018,""),"")</f>
        <v/>
      </c>
      <c r="R1018" s="251" t="str">
        <f>IF($R$11&lt;=M1018,IF($R$11&gt;=M1017+0.01,Y1018,""),"")</f>
        <v/>
      </c>
      <c r="S1018" s="252" t="str">
        <f>IF($R$11&lt;=M1018,IF($R$11&gt;=M1017+0.01,Z1018,""),"")</f>
        <v/>
      </c>
      <c r="T1018" s="253"/>
      <c r="U1018" s="254">
        <v>0.35099999999999998</v>
      </c>
      <c r="V1018" s="254">
        <v>0.34399999999999997</v>
      </c>
      <c r="W1018" s="254">
        <v>0.34200000000000003</v>
      </c>
      <c r="X1018" s="254">
        <v>0.33</v>
      </c>
      <c r="Y1018" s="254">
        <v>0.32800000000000001</v>
      </c>
      <c r="Z1018" s="254">
        <v>0.32600000000000001</v>
      </c>
    </row>
    <row r="1019" spans="13:26" x14ac:dyDescent="0.35">
      <c r="M1019" s="250">
        <v>12535</v>
      </c>
      <c r="N1019" s="251" t="str">
        <f t="shared" si="158"/>
        <v/>
      </c>
      <c r="O1019" s="251" t="str">
        <f t="shared" si="159"/>
        <v/>
      </c>
      <c r="P1019" s="251" t="str">
        <f t="shared" si="160"/>
        <v/>
      </c>
      <c r="Q1019" s="251" t="str">
        <f t="shared" si="161"/>
        <v/>
      </c>
      <c r="R1019" s="251" t="str">
        <f t="shared" si="162"/>
        <v/>
      </c>
      <c r="S1019" s="252" t="str">
        <f t="shared" si="163"/>
        <v/>
      </c>
      <c r="T1019" s="253"/>
      <c r="U1019" s="254">
        <v>0.36099999999999999</v>
      </c>
      <c r="V1019" s="254">
        <v>0.35399999999999998</v>
      </c>
      <c r="W1019" s="254">
        <v>0.35199999999999998</v>
      </c>
      <c r="X1019" s="254">
        <v>0.34</v>
      </c>
      <c r="Y1019" s="254">
        <v>0.33800000000000002</v>
      </c>
      <c r="Z1019" s="254">
        <v>0.33600000000000002</v>
      </c>
    </row>
    <row r="1020" spans="13:26" x14ac:dyDescent="0.35">
      <c r="M1020" s="250">
        <v>12535</v>
      </c>
      <c r="N1020" s="251" t="str">
        <f>IF($R$11&gt;=M1019+0.01,U1020,"")</f>
        <v/>
      </c>
      <c r="O1020" s="251" t="str">
        <f>IF($R$11&gt;=M1019,V1020,"")</f>
        <v/>
      </c>
      <c r="P1020" s="251" t="str">
        <f>IF($R$11&gt;=M1019,W1020,"")</f>
        <v/>
      </c>
      <c r="Q1020" s="251" t="str">
        <f>IF($R$11&gt;=M1019,X1020,"")</f>
        <v/>
      </c>
      <c r="R1020" s="252" t="str">
        <f>IF($R$11&gt;=M1019,Y1020,"")</f>
        <v/>
      </c>
      <c r="S1020" s="251" t="str">
        <f>IF($R$11&gt;=M1019,Z1020,"")</f>
        <v/>
      </c>
      <c r="T1020" s="253"/>
      <c r="U1020" s="254">
        <v>0.37</v>
      </c>
      <c r="V1020" s="254">
        <v>0.36399999999999999</v>
      </c>
      <c r="W1020" s="254">
        <v>0.36199999999999999</v>
      </c>
      <c r="X1020" s="254">
        <v>0.35</v>
      </c>
      <c r="Y1020" s="254">
        <v>0.34799999999999998</v>
      </c>
      <c r="Z1020" s="254">
        <v>0.34599999999999997</v>
      </c>
    </row>
    <row r="1021" spans="13:26" x14ac:dyDescent="0.35">
      <c r="M1021" s="249"/>
      <c r="N1021" s="257" t="str">
        <f>IF($A$15=1,IF($A$2=12,IF($I$2=0,SUM(N991:N1020),""),""),"")</f>
        <v/>
      </c>
      <c r="O1021" s="258" t="str">
        <f>IF($A$15=1,IF($A$2=12,IF($I$2=1,SUM(O991:O1020),""),""),"")</f>
        <v/>
      </c>
      <c r="P1021" s="258" t="str">
        <f>IF($A$15=1,IF($A$2=12,IF($I$2=2,SUM(P991:P1020),""),""),"")</f>
        <v/>
      </c>
      <c r="Q1021" s="258" t="str">
        <f>IF($A$15=1,IF($A$2=12,IF($I$2=3,SUM(Q991:Q1020),""),""),"")</f>
        <v/>
      </c>
      <c r="R1021" s="258" t="str">
        <f>IF($A$15=1,IF($A$2=12,IF($I$2=4,SUM(R991:R1020),""),""),"")</f>
        <v/>
      </c>
      <c r="S1021" s="259" t="str">
        <f>IF($A$15=1,IF($A$2=12,IF($I$2=5,SUM(S991:S1020),""),""),"")</f>
        <v/>
      </c>
      <c r="T1021" s="260">
        <f>SUM(N1021:S1021)</f>
        <v>0</v>
      </c>
      <c r="U1021" s="253"/>
      <c r="V1021" s="253"/>
      <c r="W1021" s="253"/>
      <c r="X1021" s="253"/>
      <c r="Y1021" s="253"/>
      <c r="Z1021" s="253"/>
    </row>
    <row r="1022" spans="13:26" x14ac:dyDescent="0.35">
      <c r="M1022" s="249"/>
      <c r="N1022" s="249"/>
      <c r="O1022" s="249"/>
      <c r="P1022" s="261"/>
      <c r="Q1022" s="249"/>
      <c r="R1022" s="261"/>
      <c r="S1022" s="249"/>
      <c r="T1022" s="249"/>
      <c r="U1022" s="253"/>
      <c r="V1022" s="253"/>
      <c r="W1022" s="253"/>
      <c r="X1022" s="253"/>
      <c r="Y1022" s="253"/>
      <c r="Z1022" s="253"/>
    </row>
    <row r="1023" spans="13:26" x14ac:dyDescent="0.35">
      <c r="M1023" s="294"/>
      <c r="N1023" s="294"/>
      <c r="O1023" s="266"/>
      <c r="P1023" s="294"/>
      <c r="Q1023" s="294"/>
      <c r="R1023" s="294"/>
      <c r="S1023" s="294"/>
      <c r="T1023" s="249"/>
      <c r="U1023" s="253"/>
      <c r="V1023" s="253"/>
      <c r="W1023" s="253"/>
      <c r="X1023" s="253"/>
      <c r="Y1023" s="253"/>
      <c r="Z1023" s="253"/>
    </row>
    <row r="1025" spans="13:26" x14ac:dyDescent="0.35">
      <c r="M1025" s="263" t="s">
        <v>214</v>
      </c>
      <c r="N1025" s="284"/>
      <c r="O1025" s="284" t="s">
        <v>185</v>
      </c>
      <c r="P1025" s="284"/>
      <c r="Q1025" s="284"/>
      <c r="R1025" s="284"/>
      <c r="S1025" s="285"/>
      <c r="T1025" s="286"/>
      <c r="U1025" s="286" t="str">
        <f>O1025</f>
        <v>Tabelas de IRS de retenção na fonte referente a 2018 na Madeira</v>
      </c>
      <c r="V1025" s="286"/>
      <c r="W1025" s="286"/>
      <c r="X1025" s="286"/>
      <c r="Y1025" s="286"/>
      <c r="Z1025" s="286"/>
    </row>
    <row r="1026" spans="13:26" x14ac:dyDescent="0.35">
      <c r="M1026" s="285"/>
      <c r="N1026" s="284"/>
      <c r="O1026" s="284" t="s">
        <v>204</v>
      </c>
      <c r="P1026" s="285"/>
      <c r="Q1026" s="284"/>
      <c r="R1026" s="284"/>
      <c r="S1026" s="285"/>
      <c r="T1026" s="286"/>
      <c r="U1026" s="286"/>
      <c r="V1026" s="286"/>
      <c r="W1026" s="286"/>
      <c r="X1026" s="286"/>
      <c r="Y1026" s="286"/>
      <c r="Z1026" s="286"/>
    </row>
    <row r="1027" spans="13:26" x14ac:dyDescent="0.35">
      <c r="M1027" s="284"/>
      <c r="N1027" s="284"/>
      <c r="O1027" s="284" t="s">
        <v>152</v>
      </c>
      <c r="P1027" s="285"/>
      <c r="Q1027" s="284"/>
      <c r="R1027" s="284"/>
      <c r="S1027" s="285"/>
      <c r="T1027" s="286"/>
      <c r="U1027" s="286" t="str">
        <f>O1027</f>
        <v>NÃO CASADO</v>
      </c>
      <c r="V1027" s="286"/>
      <c r="W1027" s="286"/>
      <c r="X1027" s="286"/>
      <c r="Y1027" s="286"/>
      <c r="Z1027" s="286"/>
    </row>
    <row r="1028" spans="13:26" x14ac:dyDescent="0.35">
      <c r="M1028" s="267" t="s">
        <v>154</v>
      </c>
      <c r="N1028" s="268" t="s">
        <v>155</v>
      </c>
      <c r="O1028" s="268" t="s">
        <v>156</v>
      </c>
      <c r="P1028" s="268" t="s">
        <v>157</v>
      </c>
      <c r="Q1028" s="268" t="s">
        <v>158</v>
      </c>
      <c r="R1028" s="268" t="s">
        <v>159</v>
      </c>
      <c r="S1028" s="268" t="s">
        <v>160</v>
      </c>
      <c r="T1028" s="253"/>
      <c r="U1028" s="269" t="str">
        <f t="shared" ref="U1028:Z1028" si="164">N1028</f>
        <v>0 dep</v>
      </c>
      <c r="V1028" s="269" t="str">
        <f t="shared" si="164"/>
        <v>1 dep</v>
      </c>
      <c r="W1028" s="269" t="str">
        <f t="shared" si="164"/>
        <v>2 dep</v>
      </c>
      <c r="X1028" s="269" t="str">
        <f t="shared" si="164"/>
        <v>3 dep</v>
      </c>
      <c r="Y1028" s="269" t="str">
        <f t="shared" si="164"/>
        <v>4 dep</v>
      </c>
      <c r="Z1028" s="269" t="str">
        <f t="shared" si="164"/>
        <v>5 dep. ou +</v>
      </c>
    </row>
    <row r="1029" spans="13:26" x14ac:dyDescent="0.35">
      <c r="M1029" s="250">
        <v>632</v>
      </c>
      <c r="N1029" s="251" t="str">
        <f>IF($R$11&lt;=M1029,IF($R$11&gt;=0,0,""),"")</f>
        <v/>
      </c>
      <c r="O1029" s="251" t="str">
        <f>IF($R$11&lt;=M1029,IF($R$11&gt;=0,0,""),"")</f>
        <v/>
      </c>
      <c r="P1029" s="251" t="str">
        <f>IF($R$11&lt;=M1029,IF($R$11&gt;=0,0,""),"")</f>
        <v/>
      </c>
      <c r="Q1029" s="251" t="str">
        <f>IF($R$11&lt;=M1029,IF($R$11&gt;=0,0,""),"")</f>
        <v/>
      </c>
      <c r="R1029" s="251" t="str">
        <f>IF($R$11&lt;=M1029,IF($R$11&gt;=0,0,""),"")</f>
        <v/>
      </c>
      <c r="S1029" s="251" t="str">
        <f>IF($R$11&lt;=M1029,IF($R$11&gt;=0,0,""),"")</f>
        <v/>
      </c>
      <c r="T1029" s="253"/>
      <c r="U1029" s="254">
        <v>0</v>
      </c>
      <c r="V1029" s="254">
        <v>0</v>
      </c>
      <c r="W1029" s="254">
        <v>0</v>
      </c>
      <c r="X1029" s="254">
        <v>0</v>
      </c>
      <c r="Y1029" s="254">
        <v>0</v>
      </c>
      <c r="Z1029" s="254">
        <v>0</v>
      </c>
    </row>
    <row r="1030" spans="13:26" x14ac:dyDescent="0.35">
      <c r="M1030" s="250">
        <v>645</v>
      </c>
      <c r="N1030" s="251" t="str">
        <f t="shared" ref="N1030:N1065" si="165">IF($R$11&lt;=M1030,IF($R$11&gt;=M1029+0.01,U1030,""),"")</f>
        <v/>
      </c>
      <c r="O1030" s="251" t="str">
        <f t="shared" ref="O1030:O1065" si="166">IF($R$11&lt;=M1030,IF($R$11&gt;=M1029+0.01,V1030,""),"")</f>
        <v/>
      </c>
      <c r="P1030" s="251" t="str">
        <f t="shared" ref="P1030:P1065" si="167">IF($R$11&lt;=M1030,IF($R$11&gt;=M1029+0.01,W1030,""),"")</f>
        <v/>
      </c>
      <c r="Q1030" s="251" t="str">
        <f t="shared" ref="Q1030:Q1065" si="168">IF($R$11&lt;=M1030,IF($R$11&gt;=M1029+0.01,X1030,""),"")</f>
        <v/>
      </c>
      <c r="R1030" s="251" t="str">
        <f t="shared" ref="R1030:R1065" si="169">IF($R$11&lt;=M1030,IF($R$11&gt;=M1029+0.01,Y1030,""),"")</f>
        <v/>
      </c>
      <c r="S1030" s="252" t="str">
        <f t="shared" ref="S1030:S1065" si="170">IF($R$11&lt;=M1030,IF($R$11&gt;=M1029+0.01,Z1030,""),"")</f>
        <v/>
      </c>
      <c r="T1030" s="253"/>
      <c r="U1030" s="254">
        <v>2.5999999999999999E-2</v>
      </c>
      <c r="V1030" s="254">
        <v>0</v>
      </c>
      <c r="W1030" s="254">
        <v>0</v>
      </c>
      <c r="X1030" s="254">
        <v>0</v>
      </c>
      <c r="Y1030" s="254">
        <v>0</v>
      </c>
      <c r="Z1030" s="254">
        <v>0</v>
      </c>
    </row>
    <row r="1031" spans="13:26" x14ac:dyDescent="0.35">
      <c r="M1031" s="250">
        <v>683</v>
      </c>
      <c r="N1031" s="251" t="str">
        <f t="shared" si="165"/>
        <v/>
      </c>
      <c r="O1031" s="251" t="str">
        <f t="shared" si="166"/>
        <v/>
      </c>
      <c r="P1031" s="251" t="str">
        <f t="shared" si="167"/>
        <v/>
      </c>
      <c r="Q1031" s="251" t="str">
        <f t="shared" si="168"/>
        <v/>
      </c>
      <c r="R1031" s="251" t="str">
        <f t="shared" si="169"/>
        <v/>
      </c>
      <c r="S1031" s="252" t="str">
        <f t="shared" si="170"/>
        <v/>
      </c>
      <c r="T1031" s="253"/>
      <c r="U1031" s="254">
        <v>4.2999999999999997E-2</v>
      </c>
      <c r="V1031" s="254">
        <v>8.9999999999999993E-3</v>
      </c>
      <c r="W1031" s="254">
        <v>0</v>
      </c>
      <c r="X1031" s="254">
        <v>0</v>
      </c>
      <c r="Y1031" s="254">
        <v>0</v>
      </c>
      <c r="Z1031" s="254">
        <v>0</v>
      </c>
    </row>
    <row r="1032" spans="13:26" x14ac:dyDescent="0.35">
      <c r="M1032" s="250">
        <v>736</v>
      </c>
      <c r="N1032" s="251" t="str">
        <f t="shared" si="165"/>
        <v/>
      </c>
      <c r="O1032" s="251" t="str">
        <f t="shared" si="166"/>
        <v/>
      </c>
      <c r="P1032" s="251" t="str">
        <f t="shared" si="167"/>
        <v/>
      </c>
      <c r="Q1032" s="251" t="str">
        <f t="shared" si="168"/>
        <v/>
      </c>
      <c r="R1032" s="251" t="str">
        <f t="shared" si="169"/>
        <v/>
      </c>
      <c r="S1032" s="252" t="str">
        <f t="shared" si="170"/>
        <v/>
      </c>
      <c r="T1032" s="253"/>
      <c r="U1032" s="254">
        <v>5.5E-2</v>
      </c>
      <c r="V1032" s="254">
        <v>2.1000000000000001E-2</v>
      </c>
      <c r="W1032" s="254">
        <v>2E-3</v>
      </c>
      <c r="X1032" s="254">
        <v>0</v>
      </c>
      <c r="Y1032" s="254">
        <v>0</v>
      </c>
      <c r="Z1032" s="254">
        <v>0</v>
      </c>
    </row>
    <row r="1033" spans="13:26" x14ac:dyDescent="0.35">
      <c r="M1033" s="250">
        <v>811</v>
      </c>
      <c r="N1033" s="251" t="str">
        <f t="shared" si="165"/>
        <v/>
      </c>
      <c r="O1033" s="251" t="str">
        <f t="shared" si="166"/>
        <v/>
      </c>
      <c r="P1033" s="251" t="str">
        <f t="shared" si="167"/>
        <v/>
      </c>
      <c r="Q1033" s="251" t="str">
        <f t="shared" si="168"/>
        <v/>
      </c>
      <c r="R1033" s="251" t="str">
        <f t="shared" si="169"/>
        <v/>
      </c>
      <c r="S1033" s="252" t="str">
        <f t="shared" si="170"/>
        <v/>
      </c>
      <c r="T1033" s="253"/>
      <c r="U1033" s="254">
        <v>7.6999999999999999E-2</v>
      </c>
      <c r="V1033" s="254">
        <v>4.3999999999999997E-2</v>
      </c>
      <c r="W1033" s="254">
        <v>1.0999999999999999E-2</v>
      </c>
      <c r="X1033" s="254">
        <v>0</v>
      </c>
      <c r="Y1033" s="254">
        <v>0</v>
      </c>
      <c r="Z1033" s="254">
        <v>0</v>
      </c>
    </row>
    <row r="1034" spans="13:26" x14ac:dyDescent="0.35">
      <c r="M1034" s="250">
        <v>919</v>
      </c>
      <c r="N1034" s="251" t="str">
        <f t="shared" si="165"/>
        <v/>
      </c>
      <c r="O1034" s="251" t="str">
        <f t="shared" si="166"/>
        <v/>
      </c>
      <c r="P1034" s="251" t="str">
        <f t="shared" si="167"/>
        <v/>
      </c>
      <c r="Q1034" s="251" t="str">
        <f t="shared" si="168"/>
        <v/>
      </c>
      <c r="R1034" s="251" t="str">
        <f t="shared" si="169"/>
        <v/>
      </c>
      <c r="S1034" s="252" t="str">
        <f t="shared" si="170"/>
        <v/>
      </c>
      <c r="T1034" s="253"/>
      <c r="U1034" s="254">
        <v>9.8000000000000004E-2</v>
      </c>
      <c r="V1034" s="254">
        <v>6.5000000000000002E-2</v>
      </c>
      <c r="W1034" s="254">
        <v>3.4000000000000002E-2</v>
      </c>
      <c r="X1034" s="254">
        <v>1E-3</v>
      </c>
      <c r="Y1034" s="254">
        <v>0</v>
      </c>
      <c r="Z1034" s="254">
        <v>0</v>
      </c>
    </row>
    <row r="1035" spans="13:26" x14ac:dyDescent="0.35">
      <c r="M1035" s="250">
        <v>1001</v>
      </c>
      <c r="N1035" s="251" t="str">
        <f t="shared" si="165"/>
        <v/>
      </c>
      <c r="O1035" s="251" t="str">
        <f t="shared" si="166"/>
        <v/>
      </c>
      <c r="P1035" s="251" t="str">
        <f t="shared" si="167"/>
        <v/>
      </c>
      <c r="Q1035" s="251" t="str">
        <f t="shared" si="168"/>
        <v/>
      </c>
      <c r="R1035" s="251" t="str">
        <f t="shared" si="169"/>
        <v/>
      </c>
      <c r="S1035" s="252" t="str">
        <f t="shared" si="170"/>
        <v/>
      </c>
      <c r="T1035" s="253"/>
      <c r="U1035" s="254">
        <v>0.11</v>
      </c>
      <c r="V1035" s="254">
        <v>7.6999999999999999E-2</v>
      </c>
      <c r="W1035" s="254">
        <v>5.5E-2</v>
      </c>
      <c r="X1035" s="254">
        <v>1.4999999999999999E-2</v>
      </c>
      <c r="Y1035" s="254">
        <v>0</v>
      </c>
      <c r="Z1035" s="254">
        <v>0</v>
      </c>
    </row>
    <row r="1036" spans="13:26" x14ac:dyDescent="0.35">
      <c r="M1036" s="250">
        <v>1061</v>
      </c>
      <c r="N1036" s="251" t="str">
        <f t="shared" si="165"/>
        <v/>
      </c>
      <c r="O1036" s="251" t="str">
        <f t="shared" si="166"/>
        <v/>
      </c>
      <c r="P1036" s="251" t="str">
        <f t="shared" si="167"/>
        <v/>
      </c>
      <c r="Q1036" s="251" t="str">
        <f t="shared" si="168"/>
        <v/>
      </c>
      <c r="R1036" s="251" t="str">
        <f t="shared" si="169"/>
        <v/>
      </c>
      <c r="S1036" s="252" t="str">
        <f t="shared" si="170"/>
        <v/>
      </c>
      <c r="T1036" s="253"/>
      <c r="U1036" s="254">
        <v>0.123</v>
      </c>
      <c r="V1036" s="254">
        <v>0.09</v>
      </c>
      <c r="W1036" s="254">
        <v>6.7000000000000004E-2</v>
      </c>
      <c r="X1036" s="254">
        <v>3.4000000000000002E-2</v>
      </c>
      <c r="Y1036" s="254">
        <v>0</v>
      </c>
      <c r="Z1036" s="254">
        <v>0</v>
      </c>
    </row>
    <row r="1037" spans="13:26" x14ac:dyDescent="0.35">
      <c r="M1037" s="250">
        <v>1139</v>
      </c>
      <c r="N1037" s="251" t="str">
        <f t="shared" si="165"/>
        <v/>
      </c>
      <c r="O1037" s="251" t="str">
        <f t="shared" si="166"/>
        <v/>
      </c>
      <c r="P1037" s="251" t="str">
        <f t="shared" si="167"/>
        <v/>
      </c>
      <c r="Q1037" s="251" t="str">
        <f t="shared" si="168"/>
        <v/>
      </c>
      <c r="R1037" s="251" t="str">
        <f t="shared" si="169"/>
        <v/>
      </c>
      <c r="S1037" s="252" t="str">
        <f t="shared" si="170"/>
        <v/>
      </c>
      <c r="T1037" s="253"/>
      <c r="U1037" s="254">
        <v>0.13400000000000001</v>
      </c>
      <c r="V1037" s="254">
        <v>0.109</v>
      </c>
      <c r="W1037" s="254">
        <v>8.5000000000000006E-2</v>
      </c>
      <c r="X1037" s="254">
        <v>5.1999999999999998E-2</v>
      </c>
      <c r="Y1037" s="254">
        <v>2.8000000000000001E-2</v>
      </c>
      <c r="Z1037" s="254">
        <v>4.0000000000000001E-3</v>
      </c>
    </row>
    <row r="1038" spans="13:26" x14ac:dyDescent="0.35">
      <c r="M1038" s="250">
        <v>1221</v>
      </c>
      <c r="N1038" s="251" t="str">
        <f t="shared" si="165"/>
        <v/>
      </c>
      <c r="O1038" s="251" t="str">
        <f t="shared" si="166"/>
        <v/>
      </c>
      <c r="P1038" s="251" t="str">
        <f t="shared" si="167"/>
        <v/>
      </c>
      <c r="Q1038" s="251" t="str">
        <f t="shared" si="168"/>
        <v/>
      </c>
      <c r="R1038" s="251" t="str">
        <f t="shared" si="169"/>
        <v/>
      </c>
      <c r="S1038" s="252" t="str">
        <f t="shared" si="170"/>
        <v/>
      </c>
      <c r="T1038" s="253"/>
      <c r="U1038" s="254">
        <v>0.14299999999999999</v>
      </c>
      <c r="V1038" s="254">
        <v>0.12</v>
      </c>
      <c r="W1038" s="254">
        <v>9.5000000000000001E-2</v>
      </c>
      <c r="X1038" s="254">
        <v>6.2E-2</v>
      </c>
      <c r="Y1038" s="254">
        <v>3.7999999999999999E-2</v>
      </c>
      <c r="Z1038" s="254">
        <v>1.4E-2</v>
      </c>
    </row>
    <row r="1039" spans="13:26" x14ac:dyDescent="0.35">
      <c r="M1039" s="250">
        <v>1317</v>
      </c>
      <c r="N1039" s="251" t="str">
        <f t="shared" si="165"/>
        <v/>
      </c>
      <c r="O1039" s="251" t="str">
        <f t="shared" si="166"/>
        <v/>
      </c>
      <c r="P1039" s="251" t="str">
        <f t="shared" si="167"/>
        <v/>
      </c>
      <c r="Q1039" s="251" t="str">
        <f t="shared" si="168"/>
        <v/>
      </c>
      <c r="R1039" s="251" t="str">
        <f t="shared" si="169"/>
        <v/>
      </c>
      <c r="S1039" s="252" t="str">
        <f t="shared" si="170"/>
        <v/>
      </c>
      <c r="T1039" s="253"/>
      <c r="U1039" s="254">
        <v>0.154</v>
      </c>
      <c r="V1039" s="254">
        <v>0.13100000000000001</v>
      </c>
      <c r="W1039" s="254">
        <v>0.106</v>
      </c>
      <c r="X1039" s="254">
        <v>7.1999999999999995E-2</v>
      </c>
      <c r="Y1039" s="254">
        <v>4.7E-2</v>
      </c>
      <c r="Z1039" s="254">
        <v>2.3E-2</v>
      </c>
    </row>
    <row r="1040" spans="13:26" x14ac:dyDescent="0.35">
      <c r="M1040" s="250">
        <v>1419</v>
      </c>
      <c r="N1040" s="251" t="str">
        <f t="shared" si="165"/>
        <v/>
      </c>
      <c r="O1040" s="251" t="str">
        <f t="shared" si="166"/>
        <v/>
      </c>
      <c r="P1040" s="251" t="str">
        <f t="shared" si="167"/>
        <v/>
      </c>
      <c r="Q1040" s="251" t="str">
        <f t="shared" si="168"/>
        <v/>
      </c>
      <c r="R1040" s="251" t="str">
        <f t="shared" si="169"/>
        <v/>
      </c>
      <c r="S1040" s="252" t="str">
        <f t="shared" si="170"/>
        <v/>
      </c>
      <c r="T1040" s="253"/>
      <c r="U1040" s="254">
        <v>0.16400000000000001</v>
      </c>
      <c r="V1040" s="254">
        <v>0.14000000000000001</v>
      </c>
      <c r="W1040" s="254">
        <v>0.11600000000000001</v>
      </c>
      <c r="X1040" s="254">
        <v>8.2000000000000003E-2</v>
      </c>
      <c r="Y1040" s="254">
        <v>6.7000000000000004E-2</v>
      </c>
      <c r="Z1040" s="254">
        <v>4.2000000000000003E-2</v>
      </c>
    </row>
    <row r="1041" spans="13:26" x14ac:dyDescent="0.35">
      <c r="M1041" s="250">
        <v>1557</v>
      </c>
      <c r="N1041" s="251" t="str">
        <f t="shared" si="165"/>
        <v/>
      </c>
      <c r="O1041" s="251" t="str">
        <f t="shared" si="166"/>
        <v/>
      </c>
      <c r="P1041" s="251" t="str">
        <f t="shared" si="167"/>
        <v/>
      </c>
      <c r="Q1041" s="251" t="str">
        <f t="shared" si="168"/>
        <v/>
      </c>
      <c r="R1041" s="251" t="str">
        <f t="shared" si="169"/>
        <v/>
      </c>
      <c r="S1041" s="252" t="str">
        <f t="shared" si="170"/>
        <v/>
      </c>
      <c r="T1041" s="253"/>
      <c r="U1041" s="254">
        <v>0.17399999999999999</v>
      </c>
      <c r="V1041" s="254">
        <v>0.15</v>
      </c>
      <c r="W1041" s="254">
        <v>0.126</v>
      </c>
      <c r="X1041" s="254">
        <v>0.10199999999999999</v>
      </c>
      <c r="Y1041" s="254">
        <v>7.6999999999999999E-2</v>
      </c>
      <c r="Z1041" s="254">
        <v>5.0999999999999997E-2</v>
      </c>
    </row>
    <row r="1042" spans="13:26" x14ac:dyDescent="0.35">
      <c r="M1042" s="250">
        <v>1705</v>
      </c>
      <c r="N1042" s="251">
        <f t="shared" si="165"/>
        <v>0.189</v>
      </c>
      <c r="O1042" s="251">
        <f t="shared" si="166"/>
        <v>0.16400000000000001</v>
      </c>
      <c r="P1042" s="251">
        <f t="shared" si="167"/>
        <v>0.15</v>
      </c>
      <c r="Q1042" s="251">
        <f t="shared" si="168"/>
        <v>0.11600000000000001</v>
      </c>
      <c r="R1042" s="251">
        <f t="shared" si="169"/>
        <v>9.0999999999999998E-2</v>
      </c>
      <c r="S1042" s="252">
        <f t="shared" si="170"/>
        <v>6.7000000000000004E-2</v>
      </c>
      <c r="T1042" s="253"/>
      <c r="U1042" s="254">
        <v>0.189</v>
      </c>
      <c r="V1042" s="254">
        <v>0.16400000000000001</v>
      </c>
      <c r="W1042" s="254">
        <v>0.15</v>
      </c>
      <c r="X1042" s="254">
        <v>0.11600000000000001</v>
      </c>
      <c r="Y1042" s="254">
        <v>9.0999999999999998E-2</v>
      </c>
      <c r="Z1042" s="254">
        <v>6.7000000000000004E-2</v>
      </c>
    </row>
    <row r="1043" spans="13:26" x14ac:dyDescent="0.35">
      <c r="M1043" s="250">
        <v>1864</v>
      </c>
      <c r="N1043" s="251" t="str">
        <f t="shared" si="165"/>
        <v/>
      </c>
      <c r="O1043" s="251" t="str">
        <f t="shared" si="166"/>
        <v/>
      </c>
      <c r="P1043" s="251" t="str">
        <f t="shared" si="167"/>
        <v/>
      </c>
      <c r="Q1043" s="251" t="str">
        <f t="shared" si="168"/>
        <v/>
      </c>
      <c r="R1043" s="251" t="str">
        <f t="shared" si="169"/>
        <v/>
      </c>
      <c r="S1043" s="252" t="str">
        <f t="shared" si="170"/>
        <v/>
      </c>
      <c r="T1043" s="253"/>
      <c r="U1043" s="254">
        <v>0.20399999999999999</v>
      </c>
      <c r="V1043" s="254">
        <v>0.186</v>
      </c>
      <c r="W1043" s="254">
        <v>0.17699999999999999</v>
      </c>
      <c r="X1043" s="254">
        <v>0.14799999999999999</v>
      </c>
      <c r="Y1043" s="254">
        <v>0.129</v>
      </c>
      <c r="Z1043" s="254">
        <v>0.12</v>
      </c>
    </row>
    <row r="1044" spans="13:26" x14ac:dyDescent="0.35">
      <c r="M1044" s="250">
        <v>1971</v>
      </c>
      <c r="N1044" s="251" t="str">
        <f t="shared" si="165"/>
        <v/>
      </c>
      <c r="O1044" s="251" t="str">
        <f t="shared" si="166"/>
        <v/>
      </c>
      <c r="P1044" s="251" t="str">
        <f t="shared" si="167"/>
        <v/>
      </c>
      <c r="Q1044" s="251" t="str">
        <f t="shared" si="168"/>
        <v/>
      </c>
      <c r="R1044" s="251" t="str">
        <f t="shared" si="169"/>
        <v/>
      </c>
      <c r="S1044" s="252" t="str">
        <f t="shared" si="170"/>
        <v/>
      </c>
      <c r="T1044" s="253"/>
      <c r="U1044" s="254">
        <v>0.214</v>
      </c>
      <c r="V1044" s="254">
        <v>0.19800000000000001</v>
      </c>
      <c r="W1044" s="254">
        <v>0.186</v>
      </c>
      <c r="X1044" s="254">
        <v>0.158</v>
      </c>
      <c r="Y1044" s="254">
        <v>0.14799999999999999</v>
      </c>
      <c r="Z1044" s="254">
        <v>0.129</v>
      </c>
    </row>
    <row r="1045" spans="13:26" x14ac:dyDescent="0.35">
      <c r="M1045" s="250">
        <v>2083</v>
      </c>
      <c r="N1045" s="251" t="str">
        <f t="shared" si="165"/>
        <v/>
      </c>
      <c r="O1045" s="251" t="str">
        <f t="shared" si="166"/>
        <v/>
      </c>
      <c r="P1045" s="251" t="str">
        <f t="shared" si="167"/>
        <v/>
      </c>
      <c r="Q1045" s="251" t="str">
        <f t="shared" si="168"/>
        <v/>
      </c>
      <c r="R1045" s="251" t="str">
        <f t="shared" si="169"/>
        <v/>
      </c>
      <c r="S1045" s="252" t="str">
        <f t="shared" si="170"/>
        <v/>
      </c>
      <c r="T1045" s="253"/>
      <c r="U1045" s="254">
        <v>0.22600000000000001</v>
      </c>
      <c r="V1045" s="254">
        <v>0.20899999999999999</v>
      </c>
      <c r="W1045" s="254">
        <v>0.19900000000000001</v>
      </c>
      <c r="X1045" s="254">
        <v>0.16900000000000001</v>
      </c>
      <c r="Y1045" s="254">
        <v>0.16</v>
      </c>
      <c r="Z1045" s="254">
        <v>0.14000000000000001</v>
      </c>
    </row>
    <row r="1046" spans="13:26" x14ac:dyDescent="0.35">
      <c r="M1046" s="250">
        <v>2211</v>
      </c>
      <c r="N1046" s="251" t="str">
        <f t="shared" si="165"/>
        <v/>
      </c>
      <c r="O1046" s="251" t="str">
        <f t="shared" si="166"/>
        <v/>
      </c>
      <c r="P1046" s="251" t="str">
        <f t="shared" si="167"/>
        <v/>
      </c>
      <c r="Q1046" s="251" t="str">
        <f t="shared" si="168"/>
        <v/>
      </c>
      <c r="R1046" s="251" t="str">
        <f t="shared" si="169"/>
        <v/>
      </c>
      <c r="S1046" s="252" t="str">
        <f t="shared" si="170"/>
        <v/>
      </c>
      <c r="T1046" s="253"/>
      <c r="U1046" s="254">
        <v>0.23599999999999999</v>
      </c>
      <c r="V1046" s="254">
        <v>0.22</v>
      </c>
      <c r="W1046" s="254">
        <v>0.21</v>
      </c>
      <c r="X1046" s="254">
        <v>0.18</v>
      </c>
      <c r="Y1046" s="254">
        <v>0.17</v>
      </c>
      <c r="Z1046" s="254">
        <v>0.15</v>
      </c>
    </row>
    <row r="1047" spans="13:26" x14ac:dyDescent="0.35">
      <c r="M1047" s="250">
        <v>2359</v>
      </c>
      <c r="N1047" s="251" t="str">
        <f t="shared" si="165"/>
        <v/>
      </c>
      <c r="O1047" s="251" t="str">
        <f t="shared" si="166"/>
        <v/>
      </c>
      <c r="P1047" s="251" t="str">
        <f t="shared" si="167"/>
        <v/>
      </c>
      <c r="Q1047" s="251" t="str">
        <f t="shared" si="168"/>
        <v/>
      </c>
      <c r="R1047" s="251" t="str">
        <f t="shared" si="169"/>
        <v/>
      </c>
      <c r="S1047" s="252" t="str">
        <f t="shared" si="170"/>
        <v/>
      </c>
      <c r="T1047" s="253"/>
      <c r="U1047" s="254">
        <v>0.246</v>
      </c>
      <c r="V1047" s="254">
        <v>0.23</v>
      </c>
      <c r="W1047" s="254">
        <v>0.22</v>
      </c>
      <c r="X1047" s="254">
        <v>0.191</v>
      </c>
      <c r="Y1047" s="254">
        <v>0.18099999999999999</v>
      </c>
      <c r="Z1047" s="254">
        <v>0.16</v>
      </c>
    </row>
    <row r="1048" spans="13:26" x14ac:dyDescent="0.35">
      <c r="M1048" s="250">
        <v>2527</v>
      </c>
      <c r="N1048" s="251" t="str">
        <f t="shared" si="165"/>
        <v/>
      </c>
      <c r="O1048" s="251" t="str">
        <f t="shared" si="166"/>
        <v/>
      </c>
      <c r="P1048" s="251" t="str">
        <f t="shared" si="167"/>
        <v/>
      </c>
      <c r="Q1048" s="251" t="str">
        <f t="shared" si="168"/>
        <v/>
      </c>
      <c r="R1048" s="251" t="str">
        <f t="shared" si="169"/>
        <v/>
      </c>
      <c r="S1048" s="252" t="str">
        <f t="shared" si="170"/>
        <v/>
      </c>
      <c r="T1048" s="253"/>
      <c r="U1048" s="254">
        <v>0.25600000000000001</v>
      </c>
      <c r="V1048" s="254">
        <v>0.249</v>
      </c>
      <c r="W1048" s="254">
        <v>0.23</v>
      </c>
      <c r="X1048" s="254">
        <v>0.21099999999999999</v>
      </c>
      <c r="Y1048" s="254">
        <v>0.191</v>
      </c>
      <c r="Z1048" s="254">
        <v>0.18099999999999999</v>
      </c>
    </row>
    <row r="1049" spans="13:26" x14ac:dyDescent="0.35">
      <c r="M1049" s="250">
        <v>2758</v>
      </c>
      <c r="N1049" s="251" t="str">
        <f t="shared" si="165"/>
        <v/>
      </c>
      <c r="O1049" s="251" t="str">
        <f t="shared" si="166"/>
        <v/>
      </c>
      <c r="P1049" s="251" t="str">
        <f t="shared" si="167"/>
        <v/>
      </c>
      <c r="Q1049" s="251" t="str">
        <f t="shared" si="168"/>
        <v/>
      </c>
      <c r="R1049" s="251" t="str">
        <f t="shared" si="169"/>
        <v/>
      </c>
      <c r="S1049" s="252" t="str">
        <f t="shared" si="170"/>
        <v/>
      </c>
      <c r="T1049" s="253"/>
      <c r="U1049" s="254">
        <v>0.26600000000000001</v>
      </c>
      <c r="V1049" s="254">
        <v>0.25900000000000001</v>
      </c>
      <c r="W1049" s="254">
        <v>0.24099999999999999</v>
      </c>
      <c r="X1049" s="254">
        <v>0.221</v>
      </c>
      <c r="Y1049" s="254">
        <v>0.20100000000000001</v>
      </c>
      <c r="Z1049" s="254">
        <v>0.191</v>
      </c>
    </row>
    <row r="1050" spans="13:26" x14ac:dyDescent="0.35">
      <c r="M1050" s="250">
        <v>3094</v>
      </c>
      <c r="N1050" s="251" t="str">
        <f t="shared" si="165"/>
        <v/>
      </c>
      <c r="O1050" s="251" t="str">
        <f t="shared" si="166"/>
        <v/>
      </c>
      <c r="P1050" s="251" t="str">
        <f t="shared" si="167"/>
        <v/>
      </c>
      <c r="Q1050" s="251" t="str">
        <f t="shared" si="168"/>
        <v/>
      </c>
      <c r="R1050" s="251" t="str">
        <f t="shared" si="169"/>
        <v/>
      </c>
      <c r="S1050" s="252" t="str">
        <f t="shared" si="170"/>
        <v/>
      </c>
      <c r="T1050" s="253"/>
      <c r="U1050" s="254">
        <v>0.28199999999999997</v>
      </c>
      <c r="V1050" s="254">
        <v>0.27500000000000002</v>
      </c>
      <c r="W1050" s="254">
        <v>0.255</v>
      </c>
      <c r="X1050" s="254">
        <v>0.23499999999999999</v>
      </c>
      <c r="Y1050" s="254">
        <v>0.215</v>
      </c>
      <c r="Z1050" s="254">
        <v>0.20499999999999999</v>
      </c>
    </row>
    <row r="1051" spans="13:26" x14ac:dyDescent="0.35">
      <c r="M1051" s="250">
        <v>3523</v>
      </c>
      <c r="N1051" s="251" t="str">
        <f t="shared" si="165"/>
        <v/>
      </c>
      <c r="O1051" s="251" t="str">
        <f t="shared" si="166"/>
        <v/>
      </c>
      <c r="P1051" s="251" t="str">
        <f t="shared" si="167"/>
        <v/>
      </c>
      <c r="Q1051" s="251" t="str">
        <f t="shared" si="168"/>
        <v/>
      </c>
      <c r="R1051" s="251" t="str">
        <f t="shared" si="169"/>
        <v/>
      </c>
      <c r="S1051" s="252" t="str">
        <f t="shared" si="170"/>
        <v/>
      </c>
      <c r="T1051" s="253"/>
      <c r="U1051" s="254">
        <v>0.29399999999999998</v>
      </c>
      <c r="V1051" s="254">
        <v>0.29099999999999998</v>
      </c>
      <c r="W1051" s="254">
        <v>0.27500000000000002</v>
      </c>
      <c r="X1051" s="254">
        <v>0.25900000000000001</v>
      </c>
      <c r="Y1051" s="254">
        <v>0.253</v>
      </c>
      <c r="Z1051" s="254">
        <v>0.23699999999999999</v>
      </c>
    </row>
    <row r="1052" spans="13:26" x14ac:dyDescent="0.35">
      <c r="M1052" s="250">
        <v>4105</v>
      </c>
      <c r="N1052" s="251" t="str">
        <f t="shared" si="165"/>
        <v/>
      </c>
      <c r="O1052" s="251" t="str">
        <f t="shared" si="166"/>
        <v/>
      </c>
      <c r="P1052" s="251" t="str">
        <f t="shared" si="167"/>
        <v/>
      </c>
      <c r="Q1052" s="251" t="str">
        <f t="shared" si="168"/>
        <v/>
      </c>
      <c r="R1052" s="251" t="str">
        <f t="shared" si="169"/>
        <v/>
      </c>
      <c r="S1052" s="252" t="str">
        <f t="shared" si="170"/>
        <v/>
      </c>
      <c r="T1052" s="253"/>
      <c r="U1052" s="254">
        <v>0.30599999999999999</v>
      </c>
      <c r="V1052" s="254">
        <v>0.30399999999999999</v>
      </c>
      <c r="W1052" s="254">
        <v>0.28499999999999998</v>
      </c>
      <c r="X1052" s="254">
        <v>0.26900000000000002</v>
      </c>
      <c r="Y1052" s="254">
        <v>0.26300000000000001</v>
      </c>
      <c r="Z1052" s="254">
        <v>0.25700000000000001</v>
      </c>
    </row>
    <row r="1053" spans="13:26" x14ac:dyDescent="0.35">
      <c r="M1053" s="250">
        <v>4636</v>
      </c>
      <c r="N1053" s="251" t="str">
        <f t="shared" si="165"/>
        <v/>
      </c>
      <c r="O1053" s="251" t="str">
        <f t="shared" si="166"/>
        <v/>
      </c>
      <c r="P1053" s="251" t="str">
        <f t="shared" si="167"/>
        <v/>
      </c>
      <c r="Q1053" s="251" t="str">
        <f t="shared" si="168"/>
        <v/>
      </c>
      <c r="R1053" s="251" t="str">
        <f t="shared" si="169"/>
        <v/>
      </c>
      <c r="S1053" s="252" t="str">
        <f t="shared" si="170"/>
        <v/>
      </c>
      <c r="T1053" s="253"/>
      <c r="U1053" s="254">
        <v>0.32300000000000001</v>
      </c>
      <c r="V1053" s="254">
        <v>0.318</v>
      </c>
      <c r="W1053" s="254">
        <v>0.30299999999999999</v>
      </c>
      <c r="X1053" s="254">
        <v>0.28399999999999997</v>
      </c>
      <c r="Y1053" s="254">
        <v>0.27800000000000002</v>
      </c>
      <c r="Z1053" s="254">
        <v>0.27200000000000002</v>
      </c>
    </row>
    <row r="1054" spans="13:26" x14ac:dyDescent="0.35">
      <c r="M1054" s="250">
        <v>5178</v>
      </c>
      <c r="N1054" s="251" t="str">
        <f t="shared" si="165"/>
        <v/>
      </c>
      <c r="O1054" s="251" t="str">
        <f t="shared" si="166"/>
        <v/>
      </c>
      <c r="P1054" s="251" t="str">
        <f t="shared" si="167"/>
        <v/>
      </c>
      <c r="Q1054" s="251" t="str">
        <f t="shared" si="168"/>
        <v/>
      </c>
      <c r="R1054" s="251" t="str">
        <f t="shared" si="169"/>
        <v/>
      </c>
      <c r="S1054" s="252" t="str">
        <f t="shared" si="170"/>
        <v/>
      </c>
      <c r="T1054" s="253"/>
      <c r="U1054" s="254">
        <v>0.33300000000000002</v>
      </c>
      <c r="V1054" s="254">
        <v>0.32800000000000001</v>
      </c>
      <c r="W1054" s="254">
        <v>0.32200000000000001</v>
      </c>
      <c r="X1054" s="254">
        <v>0.29699999999999999</v>
      </c>
      <c r="Y1054" s="254">
        <v>0.28799999999999998</v>
      </c>
      <c r="Z1054" s="254">
        <v>0.28199999999999997</v>
      </c>
    </row>
    <row r="1055" spans="13:26" x14ac:dyDescent="0.35">
      <c r="M1055" s="250">
        <v>5862</v>
      </c>
      <c r="N1055" s="251" t="str">
        <f t="shared" si="165"/>
        <v/>
      </c>
      <c r="O1055" s="251" t="str">
        <f t="shared" si="166"/>
        <v/>
      </c>
      <c r="P1055" s="251" t="str">
        <f t="shared" si="167"/>
        <v/>
      </c>
      <c r="Q1055" s="251" t="str">
        <f t="shared" si="168"/>
        <v/>
      </c>
      <c r="R1055" s="251" t="str">
        <f t="shared" si="169"/>
        <v/>
      </c>
      <c r="S1055" s="252" t="str">
        <f t="shared" si="170"/>
        <v/>
      </c>
      <c r="T1055" s="253"/>
      <c r="U1055" s="254">
        <v>0.34300000000000003</v>
      </c>
      <c r="V1055" s="254">
        <v>0.33800000000000002</v>
      </c>
      <c r="W1055" s="254">
        <v>0.33200000000000002</v>
      </c>
      <c r="X1055" s="254">
        <v>0.307</v>
      </c>
      <c r="Y1055" s="254">
        <v>0.30099999999999999</v>
      </c>
      <c r="Z1055" s="254">
        <v>0.29199999999999998</v>
      </c>
    </row>
    <row r="1056" spans="13:26" x14ac:dyDescent="0.35">
      <c r="M1056" s="250">
        <v>6706</v>
      </c>
      <c r="N1056" s="251" t="str">
        <f t="shared" si="165"/>
        <v/>
      </c>
      <c r="O1056" s="251" t="str">
        <f t="shared" si="166"/>
        <v/>
      </c>
      <c r="P1056" s="251" t="str">
        <f t="shared" si="167"/>
        <v/>
      </c>
      <c r="Q1056" s="251" t="str">
        <f t="shared" si="168"/>
        <v/>
      </c>
      <c r="R1056" s="251" t="str">
        <f t="shared" si="169"/>
        <v/>
      </c>
      <c r="S1056" s="252" t="str">
        <f t="shared" si="170"/>
        <v/>
      </c>
      <c r="T1056" s="253"/>
      <c r="U1056" s="254">
        <v>0.36499999999999999</v>
      </c>
      <c r="V1056" s="254">
        <v>0.36099999999999999</v>
      </c>
      <c r="W1056" s="254">
        <v>0.35299999999999998</v>
      </c>
      <c r="X1056" s="254">
        <v>0.33400000000000002</v>
      </c>
      <c r="Y1056" s="254">
        <v>0.33</v>
      </c>
      <c r="Z1056" s="254">
        <v>0.32600000000000001</v>
      </c>
    </row>
    <row r="1057" spans="13:26" x14ac:dyDescent="0.35">
      <c r="M1057" s="250">
        <v>7915</v>
      </c>
      <c r="N1057" s="251" t="str">
        <f t="shared" si="165"/>
        <v/>
      </c>
      <c r="O1057" s="251" t="str">
        <f t="shared" si="166"/>
        <v/>
      </c>
      <c r="P1057" s="251" t="str">
        <f t="shared" si="167"/>
        <v/>
      </c>
      <c r="Q1057" s="251" t="str">
        <f t="shared" si="168"/>
        <v/>
      </c>
      <c r="R1057" s="251" t="str">
        <f t="shared" si="169"/>
        <v/>
      </c>
      <c r="S1057" s="252" t="str">
        <f t="shared" si="170"/>
        <v/>
      </c>
      <c r="T1057" s="253"/>
      <c r="U1057" s="254">
        <v>0.375</v>
      </c>
      <c r="V1057" s="254">
        <v>0.371</v>
      </c>
      <c r="W1057" s="254">
        <v>0.36699999999999999</v>
      </c>
      <c r="X1057" s="254">
        <v>0.35399999999999998</v>
      </c>
      <c r="Y1057" s="254">
        <v>0.34</v>
      </c>
      <c r="Z1057" s="254">
        <v>0.33600000000000002</v>
      </c>
    </row>
    <row r="1058" spans="13:26" x14ac:dyDescent="0.35">
      <c r="M1058" s="250">
        <v>9531</v>
      </c>
      <c r="N1058" s="251" t="str">
        <f t="shared" si="165"/>
        <v/>
      </c>
      <c r="O1058" s="251" t="str">
        <f t="shared" si="166"/>
        <v/>
      </c>
      <c r="P1058" s="251" t="str">
        <f t="shared" si="167"/>
        <v/>
      </c>
      <c r="Q1058" s="251" t="str">
        <f t="shared" si="168"/>
        <v/>
      </c>
      <c r="R1058" s="251" t="str">
        <f t="shared" si="169"/>
        <v/>
      </c>
      <c r="S1058" s="252" t="str">
        <f t="shared" si="170"/>
        <v/>
      </c>
      <c r="T1058" s="253"/>
      <c r="U1058" s="254">
        <v>0.39500000000000002</v>
      </c>
      <c r="V1058" s="254">
        <v>0.39100000000000001</v>
      </c>
      <c r="W1058" s="254">
        <v>0.38700000000000001</v>
      </c>
      <c r="X1058" s="254">
        <v>0.374</v>
      </c>
      <c r="Y1058" s="254">
        <v>0.37</v>
      </c>
      <c r="Z1058" s="254">
        <v>0.35599999999999998</v>
      </c>
    </row>
    <row r="1059" spans="13:26" x14ac:dyDescent="0.35">
      <c r="M1059" s="250">
        <v>11248</v>
      </c>
      <c r="N1059" s="251" t="str">
        <f t="shared" si="165"/>
        <v/>
      </c>
      <c r="O1059" s="251" t="str">
        <f t="shared" si="166"/>
        <v/>
      </c>
      <c r="P1059" s="251" t="str">
        <f t="shared" si="167"/>
        <v/>
      </c>
      <c r="Q1059" s="251" t="str">
        <f t="shared" si="168"/>
        <v/>
      </c>
      <c r="R1059" s="251" t="str">
        <f t="shared" si="169"/>
        <v/>
      </c>
      <c r="S1059" s="252" t="str">
        <f t="shared" si="170"/>
        <v/>
      </c>
      <c r="T1059" s="253"/>
      <c r="U1059" s="254">
        <v>0.40500000000000003</v>
      </c>
      <c r="V1059" s="254">
        <v>0.40100000000000002</v>
      </c>
      <c r="W1059" s="254">
        <v>0.39700000000000002</v>
      </c>
      <c r="X1059" s="254">
        <v>0.38800000000000001</v>
      </c>
      <c r="Y1059" s="254">
        <v>0.38</v>
      </c>
      <c r="Z1059" s="254">
        <v>0.36599999999999999</v>
      </c>
    </row>
    <row r="1060" spans="13:26" x14ac:dyDescent="0.35">
      <c r="M1060" s="250">
        <v>18797</v>
      </c>
      <c r="N1060" s="251" t="str">
        <f t="shared" si="165"/>
        <v/>
      </c>
      <c r="O1060" s="251" t="str">
        <f t="shared" si="166"/>
        <v/>
      </c>
      <c r="P1060" s="251" t="str">
        <f t="shared" si="167"/>
        <v/>
      </c>
      <c r="Q1060" s="251" t="str">
        <f t="shared" si="168"/>
        <v/>
      </c>
      <c r="R1060" s="251" t="str">
        <f t="shared" si="169"/>
        <v/>
      </c>
      <c r="S1060" s="252" t="str">
        <f t="shared" si="170"/>
        <v/>
      </c>
      <c r="T1060" s="253"/>
      <c r="U1060" s="254">
        <v>0.41499999999999998</v>
      </c>
      <c r="V1060" s="254">
        <v>0.41099999999999998</v>
      </c>
      <c r="W1060" s="254">
        <v>0.40699999999999997</v>
      </c>
      <c r="X1060" s="254">
        <v>0.39800000000000002</v>
      </c>
      <c r="Y1060" s="254">
        <v>0.39400000000000002</v>
      </c>
      <c r="Z1060" s="254">
        <v>0.376</v>
      </c>
    </row>
    <row r="1061" spans="13:26" x14ac:dyDescent="0.35">
      <c r="M1061" s="250">
        <v>20160</v>
      </c>
      <c r="N1061" s="251" t="str">
        <f t="shared" si="165"/>
        <v/>
      </c>
      <c r="O1061" s="251" t="str">
        <f t="shared" si="166"/>
        <v/>
      </c>
      <c r="P1061" s="251" t="str">
        <f t="shared" si="167"/>
        <v/>
      </c>
      <c r="Q1061" s="251" t="str">
        <f t="shared" si="168"/>
        <v/>
      </c>
      <c r="R1061" s="251" t="str">
        <f t="shared" si="169"/>
        <v/>
      </c>
      <c r="S1061" s="252" t="str">
        <f t="shared" si="170"/>
        <v/>
      </c>
      <c r="T1061" s="253"/>
      <c r="U1061" s="254">
        <v>0.42499999999999999</v>
      </c>
      <c r="V1061" s="254">
        <v>0.42099999999999999</v>
      </c>
      <c r="W1061" s="254">
        <v>0.41699999999999998</v>
      </c>
      <c r="X1061" s="254">
        <v>0.40799999999999997</v>
      </c>
      <c r="Y1061" s="254">
        <v>0.40400000000000003</v>
      </c>
      <c r="Z1061" s="254">
        <v>0.38600000000000001</v>
      </c>
    </row>
    <row r="1062" spans="13:26" x14ac:dyDescent="0.35">
      <c r="M1062" s="250">
        <v>22680</v>
      </c>
      <c r="N1062" s="251" t="str">
        <f t="shared" si="165"/>
        <v/>
      </c>
      <c r="O1062" s="251" t="str">
        <f t="shared" si="166"/>
        <v/>
      </c>
      <c r="P1062" s="251" t="str">
        <f t="shared" si="167"/>
        <v/>
      </c>
      <c r="Q1062" s="251" t="str">
        <f t="shared" si="168"/>
        <v/>
      </c>
      <c r="R1062" s="251" t="str">
        <f t="shared" si="169"/>
        <v/>
      </c>
      <c r="S1062" s="252" t="str">
        <f t="shared" si="170"/>
        <v/>
      </c>
      <c r="T1062" s="253"/>
      <c r="U1062" s="254">
        <v>0.433</v>
      </c>
      <c r="V1062" s="254">
        <v>0.43099999999999999</v>
      </c>
      <c r="W1062" s="254">
        <v>0.42699999999999999</v>
      </c>
      <c r="X1062" s="254">
        <v>0.41799999999999998</v>
      </c>
      <c r="Y1062" s="254">
        <v>0.41399999999999998</v>
      </c>
      <c r="Z1062" s="254">
        <v>0.39800000000000002</v>
      </c>
    </row>
    <row r="1063" spans="13:26" x14ac:dyDescent="0.35">
      <c r="M1063" s="250">
        <v>25200</v>
      </c>
      <c r="N1063" s="251" t="str">
        <f t="shared" si="165"/>
        <v/>
      </c>
      <c r="O1063" s="251" t="str">
        <f t="shared" si="166"/>
        <v/>
      </c>
      <c r="P1063" s="251" t="str">
        <f t="shared" si="167"/>
        <v/>
      </c>
      <c r="Q1063" s="251" t="str">
        <f t="shared" si="168"/>
        <v/>
      </c>
      <c r="R1063" s="251" t="str">
        <f t="shared" si="169"/>
        <v/>
      </c>
      <c r="S1063" s="252" t="str">
        <f t="shared" si="170"/>
        <v/>
      </c>
      <c r="T1063" s="253"/>
      <c r="U1063" s="254">
        <v>0.443</v>
      </c>
      <c r="V1063" s="254">
        <v>0.441</v>
      </c>
      <c r="W1063" s="254">
        <v>0.437</v>
      </c>
      <c r="X1063" s="254">
        <v>0.42799999999999999</v>
      </c>
      <c r="Y1063" s="254">
        <v>0.42399999999999999</v>
      </c>
      <c r="Z1063" s="254">
        <v>0.41</v>
      </c>
    </row>
    <row r="1064" spans="13:26" x14ac:dyDescent="0.35">
      <c r="M1064" s="250">
        <v>25200</v>
      </c>
      <c r="N1064" s="251" t="str">
        <f t="shared" si="165"/>
        <v/>
      </c>
      <c r="O1064" s="251" t="str">
        <f t="shared" si="166"/>
        <v/>
      </c>
      <c r="P1064" s="251" t="str">
        <f t="shared" si="167"/>
        <v/>
      </c>
      <c r="Q1064" s="251" t="str">
        <f t="shared" si="168"/>
        <v/>
      </c>
      <c r="R1064" s="251" t="str">
        <f t="shared" si="169"/>
        <v/>
      </c>
      <c r="S1064" s="252" t="str">
        <f t="shared" si="170"/>
        <v/>
      </c>
      <c r="T1064" s="253"/>
      <c r="U1064" s="254">
        <v>0.45300000000000001</v>
      </c>
      <c r="V1064" s="254">
        <v>0.45100000000000001</v>
      </c>
      <c r="W1064" s="254">
        <v>0.44700000000000001</v>
      </c>
      <c r="X1064" s="254">
        <v>0.438</v>
      </c>
      <c r="Y1064" s="254">
        <v>0.434</v>
      </c>
      <c r="Z1064" s="254">
        <v>0.42</v>
      </c>
    </row>
    <row r="1065" spans="13:26" x14ac:dyDescent="0.35">
      <c r="M1065" s="250">
        <v>25200</v>
      </c>
      <c r="N1065" s="251" t="str">
        <f t="shared" si="165"/>
        <v/>
      </c>
      <c r="O1065" s="251" t="str">
        <f t="shared" si="166"/>
        <v/>
      </c>
      <c r="P1065" s="251" t="str">
        <f t="shared" si="167"/>
        <v/>
      </c>
      <c r="Q1065" s="251" t="str">
        <f t="shared" si="168"/>
        <v/>
      </c>
      <c r="R1065" s="251" t="str">
        <f t="shared" si="169"/>
        <v/>
      </c>
      <c r="S1065" s="252" t="str">
        <f t="shared" si="170"/>
        <v/>
      </c>
      <c r="T1065" s="253"/>
      <c r="U1065" s="254">
        <v>0.45300000000000001</v>
      </c>
      <c r="V1065" s="254">
        <v>0.45100000000000001</v>
      </c>
      <c r="W1065" s="254">
        <v>0.44700000000000001</v>
      </c>
      <c r="X1065" s="254">
        <v>0.438</v>
      </c>
      <c r="Y1065" s="254">
        <v>0.434</v>
      </c>
      <c r="Z1065" s="254">
        <v>0.42</v>
      </c>
    </row>
    <row r="1066" spans="13:26" x14ac:dyDescent="0.35">
      <c r="M1066" s="250">
        <v>25200</v>
      </c>
      <c r="N1066" s="251" t="str">
        <f>IF($R$11&gt;=M1065+0.01,U1066,"")</f>
        <v/>
      </c>
      <c r="O1066" s="251" t="str">
        <f>IF($R$11&gt;=M1065,V1066,"")</f>
        <v/>
      </c>
      <c r="P1066" s="251" t="str">
        <f>IF($R$11&gt;=M1065,W1066,"")</f>
        <v/>
      </c>
      <c r="Q1066" s="251" t="str">
        <f>IF($R$11&gt;=M1065,X1066,"")</f>
        <v/>
      </c>
      <c r="R1066" s="252" t="str">
        <f>IF($R$11&gt;=M1065,Y1066,"")</f>
        <v/>
      </c>
      <c r="S1066" s="251" t="str">
        <f>IF($R$11&gt;=M1065,Z1066,"")</f>
        <v/>
      </c>
      <c r="T1066" s="253"/>
      <c r="U1066" s="254">
        <v>0.45300000000000001</v>
      </c>
      <c r="V1066" s="254">
        <v>0.45100000000000001</v>
      </c>
      <c r="W1066" s="254">
        <v>0.44700000000000001</v>
      </c>
      <c r="X1066" s="254">
        <v>0.438</v>
      </c>
      <c r="Y1066" s="254">
        <v>0.434</v>
      </c>
      <c r="Z1066" s="254">
        <v>0.42</v>
      </c>
    </row>
    <row r="1067" spans="13:26" x14ac:dyDescent="0.35">
      <c r="M1067" s="249"/>
      <c r="N1067" s="280" t="str">
        <f>IF($A$15=3,IF($A$2=7,IF($I$2=0,SUM(N1029:N1066),""),""),"")</f>
        <v/>
      </c>
      <c r="O1067" s="281" t="str">
        <f>IF($A$15=3,IF($A$2=7,IF($I$2=1,SUM(O1029:O1066),""),""),"")</f>
        <v/>
      </c>
      <c r="P1067" s="281" t="str">
        <f>IF($A$15=3,IF($A$2=7,IF($I$2=2,SUM(P1029:P1066),""),""),"")</f>
        <v/>
      </c>
      <c r="Q1067" s="281" t="str">
        <f>IF($A$15=3,IF($A$2=7,IF($I$2=3,SUM(Q1029:Q1066),""),""),"")</f>
        <v/>
      </c>
      <c r="R1067" s="281" t="str">
        <f>IF($A$15=3,IF($A$2=7,IF($I$2=4,SUM(R1029:R1066),""),""),"")</f>
        <v/>
      </c>
      <c r="S1067" s="282" t="str">
        <f>IF($A$15=3,IF($A$2=7,IF($I$2=5,SUM(S1029:S1066),""),""),"")</f>
        <v/>
      </c>
      <c r="T1067" s="260">
        <f>SUM(N1067:S1067)</f>
        <v>0</v>
      </c>
      <c r="U1067" s="254"/>
      <c r="V1067" s="254"/>
      <c r="W1067" s="254"/>
      <c r="X1067" s="254"/>
      <c r="Y1067" s="254"/>
      <c r="Z1067" s="254"/>
    </row>
    <row r="1068" spans="13:26" x14ac:dyDescent="0.35">
      <c r="M1068" s="249"/>
      <c r="N1068" s="249"/>
      <c r="O1068" s="249"/>
      <c r="P1068" s="249"/>
      <c r="Q1068" s="249"/>
      <c r="R1068" s="249"/>
      <c r="S1068" s="249"/>
      <c r="T1068" s="253"/>
      <c r="U1068" s="253"/>
      <c r="V1068" s="253"/>
      <c r="W1068" s="253"/>
      <c r="X1068" s="253"/>
      <c r="Y1068" s="253"/>
      <c r="Z1068" s="253"/>
    </row>
    <row r="1069" spans="13:26" x14ac:dyDescent="0.35">
      <c r="M1069" s="249"/>
      <c r="N1069" s="249"/>
      <c r="O1069" s="249"/>
      <c r="P1069" s="249"/>
      <c r="Q1069" s="249"/>
      <c r="R1069" s="249"/>
      <c r="S1069" s="249"/>
      <c r="T1069" s="253"/>
      <c r="U1069" s="253"/>
      <c r="V1069" s="253"/>
      <c r="W1069" s="253"/>
      <c r="X1069" s="253"/>
      <c r="Y1069" s="253"/>
      <c r="Z1069" s="253"/>
    </row>
    <row r="1070" spans="13:26" x14ac:dyDescent="0.35">
      <c r="M1070" s="249"/>
      <c r="N1070" s="249"/>
      <c r="O1070" s="249"/>
      <c r="P1070" s="249"/>
      <c r="Q1070" s="249"/>
      <c r="R1070" s="249"/>
      <c r="S1070" s="249"/>
      <c r="T1070" s="253"/>
      <c r="U1070" s="253"/>
      <c r="V1070" s="253"/>
      <c r="W1070" s="253"/>
      <c r="X1070" s="253"/>
      <c r="Y1070" s="253"/>
      <c r="Z1070" s="253"/>
    </row>
    <row r="1071" spans="13:26" x14ac:dyDescent="0.35">
      <c r="M1071" s="263" t="s">
        <v>214</v>
      </c>
      <c r="N1071" s="284"/>
      <c r="O1071" s="284" t="s">
        <v>185</v>
      </c>
      <c r="P1071" s="284"/>
      <c r="Q1071" s="284"/>
      <c r="R1071" s="284"/>
      <c r="S1071" s="285"/>
      <c r="T1071" s="286"/>
      <c r="U1071" s="286" t="str">
        <f>O1071</f>
        <v>Tabelas de IRS de retenção na fonte referente a 2018 na Madeira</v>
      </c>
      <c r="V1071" s="286"/>
      <c r="W1071" s="286"/>
      <c r="X1071" s="286"/>
      <c r="Y1071" s="286"/>
      <c r="Z1071" s="286"/>
    </row>
    <row r="1072" spans="13:26" x14ac:dyDescent="0.35">
      <c r="M1072" s="285"/>
      <c r="N1072" s="284"/>
      <c r="O1072" s="284" t="s">
        <v>205</v>
      </c>
      <c r="P1072" s="285"/>
      <c r="Q1072" s="284"/>
      <c r="R1072" s="284"/>
      <c r="S1072" s="285"/>
      <c r="T1072" s="286"/>
      <c r="U1072" s="286"/>
      <c r="V1072" s="286"/>
      <c r="W1072" s="286"/>
      <c r="X1072" s="286"/>
      <c r="Y1072" s="286"/>
      <c r="Z1072" s="286"/>
    </row>
    <row r="1073" spans="13:26" x14ac:dyDescent="0.35">
      <c r="M1073" s="284"/>
      <c r="N1073" s="284"/>
      <c r="O1073" s="284" t="s">
        <v>178</v>
      </c>
      <c r="P1073" s="285"/>
      <c r="Q1073" s="284"/>
      <c r="R1073" s="284"/>
      <c r="S1073" s="285"/>
      <c r="T1073" s="286"/>
      <c r="U1073" s="286" t="str">
        <f>O1073</f>
        <v>CASADO UNICO TITULAR</v>
      </c>
      <c r="V1073" s="286"/>
      <c r="W1073" s="286"/>
      <c r="X1073" s="286"/>
      <c r="Y1073" s="286"/>
      <c r="Z1073" s="286"/>
    </row>
    <row r="1074" spans="13:26" x14ac:dyDescent="0.35">
      <c r="M1074" s="267" t="s">
        <v>154</v>
      </c>
      <c r="N1074" s="268" t="s">
        <v>155</v>
      </c>
      <c r="O1074" s="268" t="s">
        <v>156</v>
      </c>
      <c r="P1074" s="268" t="s">
        <v>157</v>
      </c>
      <c r="Q1074" s="268" t="s">
        <v>158</v>
      </c>
      <c r="R1074" s="268" t="s">
        <v>159</v>
      </c>
      <c r="S1074" s="268" t="s">
        <v>160</v>
      </c>
      <c r="T1074" s="253"/>
      <c r="U1074" s="269" t="str">
        <f t="shared" ref="U1074:Z1074" si="171">N1074</f>
        <v>0 dep</v>
      </c>
      <c r="V1074" s="269" t="str">
        <f t="shared" si="171"/>
        <v>1 dep</v>
      </c>
      <c r="W1074" s="269" t="str">
        <f t="shared" si="171"/>
        <v>2 dep</v>
      </c>
      <c r="X1074" s="269" t="str">
        <f t="shared" si="171"/>
        <v>3 dep</v>
      </c>
      <c r="Y1074" s="269" t="str">
        <f t="shared" si="171"/>
        <v>4 dep</v>
      </c>
      <c r="Z1074" s="269" t="str">
        <f t="shared" si="171"/>
        <v>5 dep. ou +</v>
      </c>
    </row>
    <row r="1075" spans="13:26" x14ac:dyDescent="0.35">
      <c r="M1075" s="250">
        <v>641</v>
      </c>
      <c r="N1075" s="251" t="str">
        <f>IF($R$11&lt;=M1075,IF($R$11&gt;=0,0,""),"")</f>
        <v/>
      </c>
      <c r="O1075" s="251" t="str">
        <f>IF($R$11&lt;=M1075,IF($R$11&gt;=0,0,""),"")</f>
        <v/>
      </c>
      <c r="P1075" s="251" t="str">
        <f>IF($R$11&lt;=M1075,IF($R$11&gt;=0,0,""),"")</f>
        <v/>
      </c>
      <c r="Q1075" s="251" t="str">
        <f>IF($R$11&lt;=M1075,IF($R$11&gt;=0,0,""),"")</f>
        <v/>
      </c>
      <c r="R1075" s="251" t="str">
        <f>IF($R$11&lt;=M1075,IF($R$11&gt;=0,0,""),"")</f>
        <v/>
      </c>
      <c r="S1075" s="251" t="str">
        <f>IF($R$11&lt;=M1075,IF($R$11&gt;=0,0,""),"")</f>
        <v/>
      </c>
      <c r="T1075" s="253"/>
      <c r="U1075" s="254">
        <v>0</v>
      </c>
      <c r="V1075" s="254">
        <v>0</v>
      </c>
      <c r="W1075" s="254">
        <v>0</v>
      </c>
      <c r="X1075" s="254">
        <v>0</v>
      </c>
      <c r="Y1075" s="254">
        <v>0</v>
      </c>
      <c r="Z1075" s="254">
        <v>0</v>
      </c>
    </row>
    <row r="1076" spans="13:26" x14ac:dyDescent="0.35">
      <c r="M1076" s="250">
        <v>683</v>
      </c>
      <c r="N1076" s="251" t="str">
        <f t="shared" ref="N1076:N1110" si="172">IF($R$11&lt;=M1076,IF($R$11&gt;=M1075+0.01,U1076,""),"")</f>
        <v/>
      </c>
      <c r="O1076" s="251" t="str">
        <f t="shared" ref="O1076:O1110" si="173">IF($R$11&lt;=M1076,IF($R$11&gt;=M1075+0.01,V1076,""),"")</f>
        <v/>
      </c>
      <c r="P1076" s="251" t="str">
        <f t="shared" ref="P1076:P1110" si="174">IF($R$11&lt;=M1076,IF($R$11&gt;=M1075+0.01,W1076,""),"")</f>
        <v/>
      </c>
      <c r="Q1076" s="251" t="str">
        <f t="shared" ref="Q1076:Q1110" si="175">IF($R$11&lt;=M1076,IF($R$11&gt;=M1075+0.01,X1076,""),"")</f>
        <v/>
      </c>
      <c r="R1076" s="251" t="str">
        <f t="shared" ref="R1076:R1110" si="176">IF($R$11&lt;=M1076,IF($R$11&gt;=M1075+0.01,Y1076,""),"")</f>
        <v/>
      </c>
      <c r="S1076" s="252" t="str">
        <f t="shared" ref="S1076:S1110" si="177">IF($R$11&lt;=M1076,IF($R$11&gt;=M1075+0.01,Z1076,""),"")</f>
        <v/>
      </c>
      <c r="T1076" s="253"/>
      <c r="U1076" s="254">
        <v>3.0000000000000001E-3</v>
      </c>
      <c r="V1076" s="254">
        <v>0</v>
      </c>
      <c r="W1076" s="254">
        <v>0</v>
      </c>
      <c r="X1076" s="254">
        <v>0</v>
      </c>
      <c r="Y1076" s="254">
        <v>0</v>
      </c>
      <c r="Z1076" s="254">
        <v>0</v>
      </c>
    </row>
    <row r="1077" spans="13:26" x14ac:dyDescent="0.35">
      <c r="M1077" s="250">
        <v>705</v>
      </c>
      <c r="N1077" s="251" t="str">
        <f t="shared" si="172"/>
        <v/>
      </c>
      <c r="O1077" s="251" t="str">
        <f t="shared" si="173"/>
        <v/>
      </c>
      <c r="P1077" s="251" t="str">
        <f t="shared" si="174"/>
        <v/>
      </c>
      <c r="Q1077" s="251" t="str">
        <f t="shared" si="175"/>
        <v/>
      </c>
      <c r="R1077" s="251" t="str">
        <f t="shared" si="176"/>
        <v/>
      </c>
      <c r="S1077" s="252" t="str">
        <f t="shared" si="177"/>
        <v/>
      </c>
      <c r="T1077" s="253"/>
      <c r="U1077" s="254">
        <v>1.7999999999999999E-2</v>
      </c>
      <c r="V1077" s="254">
        <v>0</v>
      </c>
      <c r="W1077" s="254">
        <v>0</v>
      </c>
      <c r="X1077" s="254">
        <v>0</v>
      </c>
      <c r="Y1077" s="254">
        <v>0</v>
      </c>
      <c r="Z1077" s="254">
        <v>0</v>
      </c>
    </row>
    <row r="1078" spans="13:26" x14ac:dyDescent="0.35">
      <c r="M1078" s="250">
        <v>751</v>
      </c>
      <c r="N1078" s="251" t="str">
        <f t="shared" si="172"/>
        <v/>
      </c>
      <c r="O1078" s="251" t="str">
        <f t="shared" si="173"/>
        <v/>
      </c>
      <c r="P1078" s="251" t="str">
        <f t="shared" si="174"/>
        <v/>
      </c>
      <c r="Q1078" s="251" t="str">
        <f t="shared" si="175"/>
        <v/>
      </c>
      <c r="R1078" s="251" t="str">
        <f t="shared" si="176"/>
        <v/>
      </c>
      <c r="S1078" s="252" t="str">
        <f t="shared" si="177"/>
        <v/>
      </c>
      <c r="T1078" s="253"/>
      <c r="U1078" s="254">
        <v>2.5999999999999999E-2</v>
      </c>
      <c r="V1078" s="254">
        <v>0</v>
      </c>
      <c r="W1078" s="254">
        <v>0</v>
      </c>
      <c r="X1078" s="254">
        <v>0</v>
      </c>
      <c r="Y1078" s="254">
        <v>0</v>
      </c>
      <c r="Z1078" s="254">
        <v>0</v>
      </c>
    </row>
    <row r="1079" spans="13:26" x14ac:dyDescent="0.35">
      <c r="M1079" s="250">
        <v>791</v>
      </c>
      <c r="N1079" s="251" t="str">
        <f t="shared" si="172"/>
        <v/>
      </c>
      <c r="O1079" s="251" t="str">
        <f t="shared" si="173"/>
        <v/>
      </c>
      <c r="P1079" s="251" t="str">
        <f t="shared" si="174"/>
        <v/>
      </c>
      <c r="Q1079" s="251" t="str">
        <f t="shared" si="175"/>
        <v/>
      </c>
      <c r="R1079" s="251" t="str">
        <f t="shared" si="176"/>
        <v/>
      </c>
      <c r="S1079" s="252" t="str">
        <f t="shared" si="177"/>
        <v/>
      </c>
      <c r="T1079" s="253"/>
      <c r="U1079" s="254">
        <v>3.6999999999999998E-2</v>
      </c>
      <c r="V1079" s="254">
        <v>8.0000000000000002E-3</v>
      </c>
      <c r="W1079" s="254">
        <v>0</v>
      </c>
      <c r="X1079" s="254">
        <v>0</v>
      </c>
      <c r="Y1079" s="254">
        <v>0</v>
      </c>
      <c r="Z1079" s="254">
        <v>0</v>
      </c>
    </row>
    <row r="1080" spans="13:26" x14ac:dyDescent="0.35">
      <c r="M1080" s="250">
        <v>833</v>
      </c>
      <c r="N1080" s="251" t="str">
        <f t="shared" si="172"/>
        <v/>
      </c>
      <c r="O1080" s="251" t="str">
        <f t="shared" si="173"/>
        <v/>
      </c>
      <c r="P1080" s="251" t="str">
        <f t="shared" si="174"/>
        <v/>
      </c>
      <c r="Q1080" s="251" t="str">
        <f t="shared" si="175"/>
        <v/>
      </c>
      <c r="R1080" s="251" t="str">
        <f t="shared" si="176"/>
        <v/>
      </c>
      <c r="S1080" s="252" t="str">
        <f t="shared" si="177"/>
        <v/>
      </c>
      <c r="T1080" s="253"/>
      <c r="U1080" s="254">
        <v>4.2999999999999997E-2</v>
      </c>
      <c r="V1080" s="254">
        <v>1.4E-2</v>
      </c>
      <c r="W1080" s="254">
        <v>8.0000000000000002E-3</v>
      </c>
      <c r="X1080" s="254">
        <v>0</v>
      </c>
      <c r="Y1080" s="254">
        <v>0</v>
      </c>
      <c r="Z1080" s="254">
        <v>0</v>
      </c>
    </row>
    <row r="1081" spans="13:26" x14ac:dyDescent="0.35">
      <c r="M1081" s="250">
        <v>883</v>
      </c>
      <c r="N1081" s="251" t="str">
        <f t="shared" si="172"/>
        <v/>
      </c>
      <c r="O1081" s="251" t="str">
        <f t="shared" si="173"/>
        <v/>
      </c>
      <c r="P1081" s="251" t="str">
        <f t="shared" si="174"/>
        <v/>
      </c>
      <c r="Q1081" s="251" t="str">
        <f t="shared" si="175"/>
        <v/>
      </c>
      <c r="R1081" s="251" t="str">
        <f t="shared" si="176"/>
        <v/>
      </c>
      <c r="S1081" s="252" t="str">
        <f t="shared" si="177"/>
        <v/>
      </c>
      <c r="T1081" s="253"/>
      <c r="U1081" s="254">
        <v>0.05</v>
      </c>
      <c r="V1081" s="254">
        <v>2.9000000000000001E-2</v>
      </c>
      <c r="W1081" s="254">
        <v>0.01</v>
      </c>
      <c r="X1081" s="254">
        <v>0</v>
      </c>
      <c r="Y1081" s="254">
        <v>0</v>
      </c>
      <c r="Z1081" s="254">
        <v>0</v>
      </c>
    </row>
    <row r="1082" spans="13:26" x14ac:dyDescent="0.35">
      <c r="M1082" s="250">
        <v>971</v>
      </c>
      <c r="N1082" s="251" t="str">
        <f t="shared" si="172"/>
        <v/>
      </c>
      <c r="O1082" s="251" t="str">
        <f t="shared" si="173"/>
        <v/>
      </c>
      <c r="P1082" s="251" t="str">
        <f t="shared" si="174"/>
        <v/>
      </c>
      <c r="Q1082" s="251" t="str">
        <f t="shared" si="175"/>
        <v/>
      </c>
      <c r="R1082" s="251" t="str">
        <f t="shared" si="176"/>
        <v/>
      </c>
      <c r="S1082" s="252" t="str">
        <f t="shared" si="177"/>
        <v/>
      </c>
      <c r="T1082" s="253"/>
      <c r="U1082" s="254">
        <v>5.8000000000000003E-2</v>
      </c>
      <c r="V1082" s="254">
        <v>3.5999999999999997E-2</v>
      </c>
      <c r="W1082" s="254">
        <v>2.1999999999999999E-2</v>
      </c>
      <c r="X1082" s="254">
        <v>0</v>
      </c>
      <c r="Y1082" s="254">
        <v>0</v>
      </c>
      <c r="Z1082" s="254">
        <v>0</v>
      </c>
    </row>
    <row r="1083" spans="13:26" x14ac:dyDescent="0.35">
      <c r="M1083" s="250">
        <v>1077</v>
      </c>
      <c r="N1083" s="251" t="str">
        <f t="shared" si="172"/>
        <v/>
      </c>
      <c r="O1083" s="251" t="str">
        <f t="shared" si="173"/>
        <v/>
      </c>
      <c r="P1083" s="251" t="str">
        <f t="shared" si="174"/>
        <v/>
      </c>
      <c r="Q1083" s="251" t="str">
        <f t="shared" si="175"/>
        <v/>
      </c>
      <c r="R1083" s="251" t="str">
        <f t="shared" si="176"/>
        <v/>
      </c>
      <c r="S1083" s="252" t="str">
        <f t="shared" si="177"/>
        <v/>
      </c>
      <c r="T1083" s="253"/>
      <c r="U1083" s="254">
        <v>6.5000000000000002E-2</v>
      </c>
      <c r="V1083" s="254">
        <v>4.3999999999999997E-2</v>
      </c>
      <c r="W1083" s="254">
        <v>0.03</v>
      </c>
      <c r="X1083" s="254">
        <v>8.9999999999999993E-3</v>
      </c>
      <c r="Y1083" s="254">
        <v>0</v>
      </c>
      <c r="Z1083" s="254">
        <v>0</v>
      </c>
    </row>
    <row r="1084" spans="13:26" x14ac:dyDescent="0.35">
      <c r="M1084" s="250">
        <v>1221</v>
      </c>
      <c r="N1084" s="251" t="str">
        <f t="shared" si="172"/>
        <v/>
      </c>
      <c r="O1084" s="251" t="str">
        <f t="shared" si="173"/>
        <v/>
      </c>
      <c r="P1084" s="251" t="str">
        <f t="shared" si="174"/>
        <v/>
      </c>
      <c r="Q1084" s="251" t="str">
        <f t="shared" si="175"/>
        <v/>
      </c>
      <c r="R1084" s="251" t="str">
        <f t="shared" si="176"/>
        <v/>
      </c>
      <c r="S1084" s="252" t="str">
        <f t="shared" si="177"/>
        <v/>
      </c>
      <c r="T1084" s="253"/>
      <c r="U1084" s="254">
        <v>7.1999999999999995E-2</v>
      </c>
      <c r="V1084" s="254">
        <v>5.3999999999999999E-2</v>
      </c>
      <c r="W1084" s="254">
        <v>3.6999999999999998E-2</v>
      </c>
      <c r="X1084" s="254">
        <v>1.6E-2</v>
      </c>
      <c r="Y1084" s="254">
        <v>3.0000000000000001E-3</v>
      </c>
      <c r="Z1084" s="254">
        <v>0</v>
      </c>
    </row>
    <row r="1085" spans="13:26" x14ac:dyDescent="0.35">
      <c r="M1085" s="250">
        <v>1399</v>
      </c>
      <c r="N1085" s="251" t="str">
        <f t="shared" si="172"/>
        <v/>
      </c>
      <c r="O1085" s="251" t="str">
        <f t="shared" si="173"/>
        <v/>
      </c>
      <c r="P1085" s="251" t="str">
        <f t="shared" si="174"/>
        <v/>
      </c>
      <c r="Q1085" s="251" t="str">
        <f t="shared" si="175"/>
        <v/>
      </c>
      <c r="R1085" s="251" t="str">
        <f t="shared" si="176"/>
        <v/>
      </c>
      <c r="S1085" s="252" t="str">
        <f t="shared" si="177"/>
        <v/>
      </c>
      <c r="T1085" s="253"/>
      <c r="U1085" s="254">
        <v>0.107</v>
      </c>
      <c r="V1085" s="254">
        <v>0.09</v>
      </c>
      <c r="W1085" s="254">
        <v>7.1999999999999995E-2</v>
      </c>
      <c r="X1085" s="254">
        <v>4.4999999999999998E-2</v>
      </c>
      <c r="Y1085" s="254">
        <v>2.7E-2</v>
      </c>
      <c r="Z1085" s="254">
        <v>1.7999999999999999E-2</v>
      </c>
    </row>
    <row r="1086" spans="13:26" x14ac:dyDescent="0.35">
      <c r="M1086" s="250">
        <v>1624</v>
      </c>
      <c r="N1086" s="251">
        <f t="shared" si="172"/>
        <v>0.11799999999999999</v>
      </c>
      <c r="O1086" s="251">
        <f t="shared" si="173"/>
        <v>0.10100000000000001</v>
      </c>
      <c r="P1086" s="251">
        <f t="shared" si="174"/>
        <v>8.2000000000000003E-2</v>
      </c>
      <c r="Q1086" s="251">
        <f t="shared" si="175"/>
        <v>6.4000000000000001E-2</v>
      </c>
      <c r="R1086" s="251">
        <f t="shared" si="176"/>
        <v>4.5999999999999999E-2</v>
      </c>
      <c r="S1086" s="252">
        <f t="shared" si="177"/>
        <v>2.8000000000000001E-2</v>
      </c>
      <c r="T1086" s="253"/>
      <c r="U1086" s="254">
        <v>0.11799999999999999</v>
      </c>
      <c r="V1086" s="254">
        <v>0.10100000000000001</v>
      </c>
      <c r="W1086" s="254">
        <v>8.2000000000000003E-2</v>
      </c>
      <c r="X1086" s="254">
        <v>6.4000000000000001E-2</v>
      </c>
      <c r="Y1086" s="254">
        <v>4.5999999999999999E-2</v>
      </c>
      <c r="Z1086" s="254">
        <v>2.8000000000000001E-2</v>
      </c>
    </row>
    <row r="1087" spans="13:26" x14ac:dyDescent="0.35">
      <c r="M1087" s="250">
        <v>1727</v>
      </c>
      <c r="N1087" s="251" t="str">
        <f t="shared" si="172"/>
        <v/>
      </c>
      <c r="O1087" s="251" t="str">
        <f t="shared" si="173"/>
        <v/>
      </c>
      <c r="P1087" s="251" t="str">
        <f t="shared" si="174"/>
        <v/>
      </c>
      <c r="Q1087" s="251" t="str">
        <f t="shared" si="175"/>
        <v/>
      </c>
      <c r="R1087" s="251" t="str">
        <f t="shared" si="176"/>
        <v/>
      </c>
      <c r="S1087" s="252" t="str">
        <f t="shared" si="177"/>
        <v/>
      </c>
      <c r="T1087" s="253"/>
      <c r="U1087" s="254">
        <v>0.13300000000000001</v>
      </c>
      <c r="V1087" s="254">
        <v>0.115</v>
      </c>
      <c r="W1087" s="254">
        <v>0.106</v>
      </c>
      <c r="X1087" s="254">
        <v>7.8E-2</v>
      </c>
      <c r="Y1087" s="254">
        <v>0.06</v>
      </c>
      <c r="Z1087" s="254">
        <v>5.1999999999999998E-2</v>
      </c>
    </row>
    <row r="1088" spans="13:26" x14ac:dyDescent="0.35">
      <c r="M1088" s="250">
        <v>1843</v>
      </c>
      <c r="N1088" s="251" t="str">
        <f t="shared" si="172"/>
        <v/>
      </c>
      <c r="O1088" s="251" t="str">
        <f t="shared" si="173"/>
        <v/>
      </c>
      <c r="P1088" s="251" t="str">
        <f t="shared" si="174"/>
        <v/>
      </c>
      <c r="Q1088" s="251" t="str">
        <f t="shared" si="175"/>
        <v/>
      </c>
      <c r="R1088" s="251" t="str">
        <f t="shared" si="176"/>
        <v/>
      </c>
      <c r="S1088" s="252" t="str">
        <f t="shared" si="177"/>
        <v/>
      </c>
      <c r="T1088" s="253"/>
      <c r="U1088" s="254">
        <v>0.14299999999999999</v>
      </c>
      <c r="V1088" s="254">
        <v>0.127</v>
      </c>
      <c r="W1088" s="254">
        <v>0.11899999999999999</v>
      </c>
      <c r="X1088" s="254">
        <v>9.1999999999999998E-2</v>
      </c>
      <c r="Y1088" s="254">
        <v>7.3999999999999996E-2</v>
      </c>
      <c r="Z1088" s="254">
        <v>6.6000000000000003E-2</v>
      </c>
    </row>
    <row r="1089" spans="13:26" x14ac:dyDescent="0.35">
      <c r="M1089" s="250">
        <v>1992</v>
      </c>
      <c r="N1089" s="251" t="str">
        <f t="shared" si="172"/>
        <v/>
      </c>
      <c r="O1089" s="251" t="str">
        <f t="shared" si="173"/>
        <v/>
      </c>
      <c r="P1089" s="251" t="str">
        <f t="shared" si="174"/>
        <v/>
      </c>
      <c r="Q1089" s="251" t="str">
        <f t="shared" si="175"/>
        <v/>
      </c>
      <c r="R1089" s="251" t="str">
        <f t="shared" si="176"/>
        <v/>
      </c>
      <c r="S1089" s="252" t="str">
        <f t="shared" si="177"/>
        <v/>
      </c>
      <c r="T1089" s="253"/>
      <c r="U1089" s="254">
        <v>0.152</v>
      </c>
      <c r="V1089" s="254">
        <v>0.13600000000000001</v>
      </c>
      <c r="W1089" s="254">
        <v>0.128</v>
      </c>
      <c r="X1089" s="254">
        <v>0.10199999999999999</v>
      </c>
      <c r="Y1089" s="254">
        <v>9.4E-2</v>
      </c>
      <c r="Z1089" s="254">
        <v>7.5999999999999998E-2</v>
      </c>
    </row>
    <row r="1090" spans="13:26" x14ac:dyDescent="0.35">
      <c r="M1090" s="250">
        <v>2150</v>
      </c>
      <c r="N1090" s="251" t="str">
        <f t="shared" si="172"/>
        <v/>
      </c>
      <c r="O1090" s="251" t="str">
        <f t="shared" si="173"/>
        <v/>
      </c>
      <c r="P1090" s="251" t="str">
        <f t="shared" si="174"/>
        <v/>
      </c>
      <c r="Q1090" s="251" t="str">
        <f t="shared" si="175"/>
        <v/>
      </c>
      <c r="R1090" s="251" t="str">
        <f t="shared" si="176"/>
        <v/>
      </c>
      <c r="S1090" s="252" t="str">
        <f t="shared" si="177"/>
        <v/>
      </c>
      <c r="T1090" s="253"/>
      <c r="U1090" s="254">
        <v>0.16400000000000001</v>
      </c>
      <c r="V1090" s="254">
        <v>0.14699999999999999</v>
      </c>
      <c r="W1090" s="254">
        <v>0.13900000000000001</v>
      </c>
      <c r="X1090" s="254">
        <v>0.112</v>
      </c>
      <c r="Y1090" s="254">
        <v>0.105</v>
      </c>
      <c r="Z1090" s="254">
        <v>8.6999999999999994E-2</v>
      </c>
    </row>
    <row r="1091" spans="13:26" x14ac:dyDescent="0.35">
      <c r="M1091" s="250">
        <v>2339</v>
      </c>
      <c r="N1091" s="251" t="str">
        <f t="shared" si="172"/>
        <v/>
      </c>
      <c r="O1091" s="251" t="str">
        <f t="shared" si="173"/>
        <v/>
      </c>
      <c r="P1091" s="251" t="str">
        <f t="shared" si="174"/>
        <v/>
      </c>
      <c r="Q1091" s="251" t="str">
        <f t="shared" si="175"/>
        <v/>
      </c>
      <c r="R1091" s="251" t="str">
        <f t="shared" si="176"/>
        <v/>
      </c>
      <c r="S1091" s="252" t="str">
        <f t="shared" si="177"/>
        <v/>
      </c>
      <c r="T1091" s="253"/>
      <c r="U1091" s="254">
        <v>0.17299999999999999</v>
      </c>
      <c r="V1091" s="254">
        <v>0.16700000000000001</v>
      </c>
      <c r="W1091" s="254">
        <v>0.14899999999999999</v>
      </c>
      <c r="X1091" s="254">
        <v>0.122</v>
      </c>
      <c r="Y1091" s="254">
        <v>0.114</v>
      </c>
      <c r="Z1091" s="254">
        <v>9.7000000000000003E-2</v>
      </c>
    </row>
    <row r="1092" spans="13:26" x14ac:dyDescent="0.35">
      <c r="M1092" s="250">
        <v>2558</v>
      </c>
      <c r="N1092" s="251" t="str">
        <f t="shared" si="172"/>
        <v/>
      </c>
      <c r="O1092" s="251" t="str">
        <f t="shared" si="173"/>
        <v/>
      </c>
      <c r="P1092" s="251" t="str">
        <f t="shared" si="174"/>
        <v/>
      </c>
      <c r="Q1092" s="251" t="str">
        <f t="shared" si="175"/>
        <v/>
      </c>
      <c r="R1092" s="251" t="str">
        <f t="shared" si="176"/>
        <v/>
      </c>
      <c r="S1092" s="252" t="str">
        <f t="shared" si="177"/>
        <v/>
      </c>
      <c r="T1092" s="253"/>
      <c r="U1092" s="254">
        <v>0.183</v>
      </c>
      <c r="V1092" s="254">
        <v>0.17599999999999999</v>
      </c>
      <c r="W1092" s="254">
        <v>0.159</v>
      </c>
      <c r="X1092" s="254">
        <v>0.14099999999999999</v>
      </c>
      <c r="Y1092" s="254">
        <v>0.124</v>
      </c>
      <c r="Z1092" s="254">
        <v>0.11600000000000001</v>
      </c>
    </row>
    <row r="1093" spans="13:26" x14ac:dyDescent="0.35">
      <c r="M1093" s="250">
        <v>2925</v>
      </c>
      <c r="N1093" s="251" t="str">
        <f t="shared" si="172"/>
        <v/>
      </c>
      <c r="O1093" s="251" t="str">
        <f t="shared" si="173"/>
        <v/>
      </c>
      <c r="P1093" s="251" t="str">
        <f t="shared" si="174"/>
        <v/>
      </c>
      <c r="Q1093" s="251" t="str">
        <f t="shared" si="175"/>
        <v/>
      </c>
      <c r="R1093" s="251" t="str">
        <f t="shared" si="176"/>
        <v/>
      </c>
      <c r="S1093" s="252" t="str">
        <f t="shared" si="177"/>
        <v/>
      </c>
      <c r="T1093" s="253"/>
      <c r="U1093" s="254">
        <v>0.193</v>
      </c>
      <c r="V1093" s="254">
        <v>0.186</v>
      </c>
      <c r="W1093" s="254">
        <v>0.16900000000000001</v>
      </c>
      <c r="X1093" s="254">
        <v>0.151</v>
      </c>
      <c r="Y1093" s="254">
        <v>0.13400000000000001</v>
      </c>
      <c r="Z1093" s="254">
        <v>0.126</v>
      </c>
    </row>
    <row r="1094" spans="13:26" x14ac:dyDescent="0.35">
      <c r="M1094" s="250">
        <v>3345</v>
      </c>
      <c r="N1094" s="251" t="str">
        <f t="shared" si="172"/>
        <v/>
      </c>
      <c r="O1094" s="251" t="str">
        <f t="shared" si="173"/>
        <v/>
      </c>
      <c r="P1094" s="251" t="str">
        <f t="shared" si="174"/>
        <v/>
      </c>
      <c r="Q1094" s="251" t="str">
        <f t="shared" si="175"/>
        <v/>
      </c>
      <c r="R1094" s="251" t="str">
        <f t="shared" si="176"/>
        <v/>
      </c>
      <c r="S1094" s="252" t="str">
        <f t="shared" si="177"/>
        <v/>
      </c>
      <c r="T1094" s="253"/>
      <c r="U1094" s="254">
        <v>0.217</v>
      </c>
      <c r="V1094" s="254">
        <v>0.216</v>
      </c>
      <c r="W1094" s="254">
        <v>0.20100000000000001</v>
      </c>
      <c r="X1094" s="254">
        <v>0.187</v>
      </c>
      <c r="Y1094" s="254">
        <v>0.17299999999999999</v>
      </c>
      <c r="Z1094" s="254">
        <v>0.16900000000000001</v>
      </c>
    </row>
    <row r="1095" spans="13:26" x14ac:dyDescent="0.35">
      <c r="M1095" s="250">
        <v>3600</v>
      </c>
      <c r="N1095" s="251" t="str">
        <f t="shared" si="172"/>
        <v/>
      </c>
      <c r="O1095" s="251" t="str">
        <f t="shared" si="173"/>
        <v/>
      </c>
      <c r="P1095" s="251" t="str">
        <f t="shared" si="174"/>
        <v/>
      </c>
      <c r="Q1095" s="251" t="str">
        <f t="shared" si="175"/>
        <v/>
      </c>
      <c r="R1095" s="251" t="str">
        <f t="shared" si="176"/>
        <v/>
      </c>
      <c r="S1095" s="252" t="str">
        <f t="shared" si="177"/>
        <v/>
      </c>
      <c r="T1095" s="253"/>
      <c r="U1095" s="254">
        <v>0.22700000000000001</v>
      </c>
      <c r="V1095" s="254">
        <v>0.22600000000000001</v>
      </c>
      <c r="W1095" s="254">
        <v>0.21199999999999999</v>
      </c>
      <c r="X1095" s="254">
        <v>0.19700000000000001</v>
      </c>
      <c r="Y1095" s="254">
        <v>0.193</v>
      </c>
      <c r="Z1095" s="254">
        <v>0.17899999999999999</v>
      </c>
    </row>
    <row r="1096" spans="13:26" x14ac:dyDescent="0.35">
      <c r="M1096" s="250">
        <v>3870</v>
      </c>
      <c r="N1096" s="251" t="str">
        <f t="shared" si="172"/>
        <v/>
      </c>
      <c r="O1096" s="251" t="str">
        <f t="shared" si="173"/>
        <v/>
      </c>
      <c r="P1096" s="251" t="str">
        <f t="shared" si="174"/>
        <v/>
      </c>
      <c r="Q1096" s="251" t="str">
        <f t="shared" si="175"/>
        <v/>
      </c>
      <c r="R1096" s="251" t="str">
        <f t="shared" si="176"/>
        <v/>
      </c>
      <c r="S1096" s="252" t="str">
        <f t="shared" si="177"/>
        <v/>
      </c>
      <c r="T1096" s="253"/>
      <c r="U1096" s="254">
        <v>0.23699999999999999</v>
      </c>
      <c r="V1096" s="254">
        <v>0.23599999999999999</v>
      </c>
      <c r="W1096" s="254">
        <v>0.222</v>
      </c>
      <c r="X1096" s="254">
        <v>0.20799999999999999</v>
      </c>
      <c r="Y1096" s="254">
        <v>0.20300000000000001</v>
      </c>
      <c r="Z1096" s="254">
        <v>0.189</v>
      </c>
    </row>
    <row r="1097" spans="13:26" x14ac:dyDescent="0.35">
      <c r="M1097" s="250">
        <v>4197</v>
      </c>
      <c r="N1097" s="251" t="str">
        <f t="shared" si="172"/>
        <v/>
      </c>
      <c r="O1097" s="251" t="str">
        <f t="shared" si="173"/>
        <v/>
      </c>
      <c r="P1097" s="251" t="str">
        <f t="shared" si="174"/>
        <v/>
      </c>
      <c r="Q1097" s="251" t="str">
        <f t="shared" si="175"/>
        <v/>
      </c>
      <c r="R1097" s="251" t="str">
        <f t="shared" si="176"/>
        <v/>
      </c>
      <c r="S1097" s="252" t="str">
        <f t="shared" si="177"/>
        <v/>
      </c>
      <c r="T1097" s="253"/>
      <c r="U1097" s="254">
        <v>0.247</v>
      </c>
      <c r="V1097" s="254">
        <v>0.246</v>
      </c>
      <c r="W1097" s="254">
        <v>0.23200000000000001</v>
      </c>
      <c r="X1097" s="254">
        <v>0.218</v>
      </c>
      <c r="Y1097" s="254">
        <v>0.214</v>
      </c>
      <c r="Z1097" s="254">
        <v>0.20799999999999999</v>
      </c>
    </row>
    <row r="1098" spans="13:26" x14ac:dyDescent="0.35">
      <c r="M1098" s="250">
        <v>4590</v>
      </c>
      <c r="N1098" s="251" t="str">
        <f t="shared" si="172"/>
        <v/>
      </c>
      <c r="O1098" s="251" t="str">
        <f t="shared" si="173"/>
        <v/>
      </c>
      <c r="P1098" s="251" t="str">
        <f t="shared" si="174"/>
        <v/>
      </c>
      <c r="Q1098" s="251" t="str">
        <f t="shared" si="175"/>
        <v/>
      </c>
      <c r="R1098" s="251" t="str">
        <f t="shared" si="176"/>
        <v/>
      </c>
      <c r="S1098" s="252" t="str">
        <f t="shared" si="177"/>
        <v/>
      </c>
      <c r="T1098" s="253"/>
      <c r="U1098" s="254">
        <v>0.26200000000000001</v>
      </c>
      <c r="V1098" s="254">
        <v>0.25600000000000001</v>
      </c>
      <c r="W1098" s="254">
        <v>0.24199999999999999</v>
      </c>
      <c r="X1098" s="254">
        <v>0.22800000000000001</v>
      </c>
      <c r="Y1098" s="254">
        <v>0.224</v>
      </c>
      <c r="Z1098" s="254">
        <v>0.22</v>
      </c>
    </row>
    <row r="1099" spans="13:26" x14ac:dyDescent="0.35">
      <c r="M1099" s="250">
        <v>5060</v>
      </c>
      <c r="N1099" s="251" t="str">
        <f t="shared" si="172"/>
        <v/>
      </c>
      <c r="O1099" s="251" t="str">
        <f t="shared" si="173"/>
        <v/>
      </c>
      <c r="P1099" s="251" t="str">
        <f t="shared" si="174"/>
        <v/>
      </c>
      <c r="Q1099" s="251" t="str">
        <f t="shared" si="175"/>
        <v/>
      </c>
      <c r="R1099" s="251" t="str">
        <f t="shared" si="176"/>
        <v/>
      </c>
      <c r="S1099" s="252" t="str">
        <f t="shared" si="177"/>
        <v/>
      </c>
      <c r="T1099" s="253"/>
      <c r="U1099" s="254">
        <v>0.27200000000000002</v>
      </c>
      <c r="V1099" s="254">
        <v>0.26600000000000001</v>
      </c>
      <c r="W1099" s="254">
        <v>0.26200000000000001</v>
      </c>
      <c r="X1099" s="254">
        <v>0.23799999999999999</v>
      </c>
      <c r="Y1099" s="254">
        <v>0.23400000000000001</v>
      </c>
      <c r="Z1099" s="254">
        <v>0.23</v>
      </c>
    </row>
    <row r="1100" spans="13:26" x14ac:dyDescent="0.35">
      <c r="M1100" s="250">
        <v>5637</v>
      </c>
      <c r="N1100" s="251" t="str">
        <f t="shared" si="172"/>
        <v/>
      </c>
      <c r="O1100" s="251" t="str">
        <f t="shared" si="173"/>
        <v/>
      </c>
      <c r="P1100" s="251" t="str">
        <f t="shared" si="174"/>
        <v/>
      </c>
      <c r="Q1100" s="251" t="str">
        <f t="shared" si="175"/>
        <v/>
      </c>
      <c r="R1100" s="251" t="str">
        <f t="shared" si="176"/>
        <v/>
      </c>
      <c r="S1100" s="252" t="str">
        <f t="shared" si="177"/>
        <v/>
      </c>
      <c r="T1100" s="253"/>
      <c r="U1100" s="254">
        <v>0.28199999999999997</v>
      </c>
      <c r="V1100" s="254">
        <v>0.27600000000000002</v>
      </c>
      <c r="W1100" s="254">
        <v>0.27200000000000002</v>
      </c>
      <c r="X1100" s="254">
        <v>0.248</v>
      </c>
      <c r="Y1100" s="254">
        <v>0.24399999999999999</v>
      </c>
      <c r="Z1100" s="254">
        <v>0.24</v>
      </c>
    </row>
    <row r="1101" spans="13:26" x14ac:dyDescent="0.35">
      <c r="M1101" s="250">
        <v>6361</v>
      </c>
      <c r="N1101" s="251" t="str">
        <f t="shared" si="172"/>
        <v/>
      </c>
      <c r="O1101" s="251" t="str">
        <f t="shared" si="173"/>
        <v/>
      </c>
      <c r="P1101" s="251" t="str">
        <f t="shared" si="174"/>
        <v/>
      </c>
      <c r="Q1101" s="251" t="str">
        <f t="shared" si="175"/>
        <v/>
      </c>
      <c r="R1101" s="251" t="str">
        <f t="shared" si="176"/>
        <v/>
      </c>
      <c r="S1101" s="252" t="str">
        <f t="shared" si="177"/>
        <v/>
      </c>
      <c r="T1101" s="253"/>
      <c r="U1101" s="254">
        <v>0.29099999999999998</v>
      </c>
      <c r="V1101" s="254">
        <v>0.28599999999999998</v>
      </c>
      <c r="W1101" s="254">
        <v>0.28199999999999997</v>
      </c>
      <c r="X1101" s="254">
        <v>0.25800000000000001</v>
      </c>
      <c r="Y1101" s="254">
        <v>0.254</v>
      </c>
      <c r="Z1101" s="254">
        <v>0.25</v>
      </c>
    </row>
    <row r="1102" spans="13:26" x14ac:dyDescent="0.35">
      <c r="M1102" s="250">
        <v>7301</v>
      </c>
      <c r="N1102" s="251" t="str">
        <f t="shared" si="172"/>
        <v/>
      </c>
      <c r="O1102" s="251" t="str">
        <f t="shared" si="173"/>
        <v/>
      </c>
      <c r="P1102" s="251" t="str">
        <f t="shared" si="174"/>
        <v/>
      </c>
      <c r="Q1102" s="251" t="str">
        <f t="shared" si="175"/>
        <v/>
      </c>
      <c r="R1102" s="251" t="str">
        <f t="shared" si="176"/>
        <v/>
      </c>
      <c r="S1102" s="252" t="str">
        <f t="shared" si="177"/>
        <v/>
      </c>
      <c r="T1102" s="253"/>
      <c r="U1102" s="254">
        <v>0.30399999999999999</v>
      </c>
      <c r="V1102" s="254">
        <v>0.30299999999999999</v>
      </c>
      <c r="W1102" s="254">
        <v>0.29799999999999999</v>
      </c>
      <c r="X1102" s="254">
        <v>0.27600000000000002</v>
      </c>
      <c r="Y1102" s="254">
        <v>0.27400000000000002</v>
      </c>
      <c r="Z1102" s="254">
        <v>0.27200000000000002</v>
      </c>
    </row>
    <row r="1103" spans="13:26" x14ac:dyDescent="0.35">
      <c r="M1103" s="250">
        <v>8415</v>
      </c>
      <c r="N1103" s="251" t="str">
        <f t="shared" si="172"/>
        <v/>
      </c>
      <c r="O1103" s="251" t="str">
        <f t="shared" si="173"/>
        <v/>
      </c>
      <c r="P1103" s="251" t="str">
        <f t="shared" si="174"/>
        <v/>
      </c>
      <c r="Q1103" s="251" t="str">
        <f t="shared" si="175"/>
        <v/>
      </c>
      <c r="R1103" s="251" t="str">
        <f t="shared" si="176"/>
        <v/>
      </c>
      <c r="S1103" s="252" t="str">
        <f t="shared" si="177"/>
        <v/>
      </c>
      <c r="T1103" s="253"/>
      <c r="U1103" s="254">
        <v>0.313</v>
      </c>
      <c r="V1103" s="254">
        <v>0.312</v>
      </c>
      <c r="W1103" s="254">
        <v>0.311</v>
      </c>
      <c r="X1103" s="254">
        <v>0.29599999999999999</v>
      </c>
      <c r="Y1103" s="254">
        <v>0.28399999999999997</v>
      </c>
      <c r="Z1103" s="254">
        <v>0.28199999999999997</v>
      </c>
    </row>
    <row r="1104" spans="13:26" x14ac:dyDescent="0.35">
      <c r="M1104" s="250">
        <v>9308</v>
      </c>
      <c r="N1104" s="251" t="str">
        <f t="shared" si="172"/>
        <v/>
      </c>
      <c r="O1104" s="251" t="str">
        <f t="shared" si="173"/>
        <v/>
      </c>
      <c r="P1104" s="251" t="str">
        <f t="shared" si="174"/>
        <v/>
      </c>
      <c r="Q1104" s="251" t="str">
        <f t="shared" si="175"/>
        <v/>
      </c>
      <c r="R1104" s="251" t="str">
        <f t="shared" si="176"/>
        <v/>
      </c>
      <c r="S1104" s="252" t="str">
        <f t="shared" si="177"/>
        <v/>
      </c>
      <c r="T1104" s="253"/>
      <c r="U1104" s="254">
        <v>0.32800000000000001</v>
      </c>
      <c r="V1104" s="254">
        <v>0.32700000000000001</v>
      </c>
      <c r="W1104" s="254">
        <v>0.32500000000000001</v>
      </c>
      <c r="X1104" s="254">
        <v>0.313</v>
      </c>
      <c r="Y1104" s="254">
        <v>0.29899999999999999</v>
      </c>
      <c r="Z1104" s="254">
        <v>0.29699999999999999</v>
      </c>
    </row>
    <row r="1105" spans="13:26" x14ac:dyDescent="0.35">
      <c r="M1105" s="250">
        <v>10416</v>
      </c>
      <c r="N1105" s="251" t="str">
        <f t="shared" si="172"/>
        <v/>
      </c>
      <c r="O1105" s="251" t="str">
        <f t="shared" si="173"/>
        <v/>
      </c>
      <c r="P1105" s="251" t="str">
        <f t="shared" si="174"/>
        <v/>
      </c>
      <c r="Q1105" s="251" t="str">
        <f t="shared" si="175"/>
        <v/>
      </c>
      <c r="R1105" s="251" t="str">
        <f t="shared" si="176"/>
        <v/>
      </c>
      <c r="S1105" s="252" t="str">
        <f t="shared" si="177"/>
        <v/>
      </c>
      <c r="T1105" s="253"/>
      <c r="U1105" s="254">
        <v>0.33800000000000002</v>
      </c>
      <c r="V1105" s="254">
        <v>0.33700000000000002</v>
      </c>
      <c r="W1105" s="254">
        <v>0.33500000000000002</v>
      </c>
      <c r="X1105" s="254">
        <v>0.32300000000000001</v>
      </c>
      <c r="Y1105" s="254">
        <v>0.32100000000000001</v>
      </c>
      <c r="Z1105" s="254">
        <v>0.307</v>
      </c>
    </row>
    <row r="1106" spans="13:26" x14ac:dyDescent="0.35">
      <c r="M1106" s="250">
        <v>13971</v>
      </c>
      <c r="N1106" s="251" t="str">
        <f t="shared" si="172"/>
        <v/>
      </c>
      <c r="O1106" s="251" t="str">
        <f t="shared" si="173"/>
        <v/>
      </c>
      <c r="P1106" s="251" t="str">
        <f t="shared" si="174"/>
        <v/>
      </c>
      <c r="Q1106" s="251" t="str">
        <f t="shared" si="175"/>
        <v/>
      </c>
      <c r="R1106" s="251" t="str">
        <f t="shared" si="176"/>
        <v/>
      </c>
      <c r="S1106" s="252" t="str">
        <f t="shared" si="177"/>
        <v/>
      </c>
      <c r="T1106" s="253"/>
      <c r="U1106" s="254">
        <v>0.35299999999999998</v>
      </c>
      <c r="V1106" s="254">
        <v>0.35299999999999998</v>
      </c>
      <c r="W1106" s="254">
        <v>0.34699999999999998</v>
      </c>
      <c r="X1106" s="254">
        <v>0.33500000000000002</v>
      </c>
      <c r="Y1106" s="254">
        <v>0.33300000000000002</v>
      </c>
      <c r="Z1106" s="254">
        <v>0.32100000000000001</v>
      </c>
    </row>
    <row r="1107" spans="13:26" x14ac:dyDescent="0.35">
      <c r="M1107" s="250">
        <v>20057</v>
      </c>
      <c r="N1107" s="251" t="str">
        <f t="shared" si="172"/>
        <v/>
      </c>
      <c r="O1107" s="251" t="str">
        <f t="shared" si="173"/>
        <v/>
      </c>
      <c r="P1107" s="251" t="str">
        <f t="shared" si="174"/>
        <v/>
      </c>
      <c r="Q1107" s="251" t="str">
        <f t="shared" si="175"/>
        <v/>
      </c>
      <c r="R1107" s="251" t="str">
        <f t="shared" si="176"/>
        <v/>
      </c>
      <c r="S1107" s="252" t="str">
        <f t="shared" si="177"/>
        <v/>
      </c>
      <c r="T1107" s="253"/>
      <c r="U1107" s="254">
        <v>0.373</v>
      </c>
      <c r="V1107" s="254">
        <v>0.373</v>
      </c>
      <c r="W1107" s="254">
        <v>0.371</v>
      </c>
      <c r="X1107" s="254">
        <v>0.36</v>
      </c>
      <c r="Y1107" s="254">
        <v>0.35799999999999998</v>
      </c>
      <c r="Z1107" s="254">
        <v>0.34599999999999997</v>
      </c>
    </row>
    <row r="1108" spans="13:26" x14ac:dyDescent="0.35">
      <c r="M1108" s="250">
        <v>22680</v>
      </c>
      <c r="N1108" s="251" t="str">
        <f t="shared" si="172"/>
        <v/>
      </c>
      <c r="O1108" s="251" t="str">
        <f t="shared" si="173"/>
        <v/>
      </c>
      <c r="P1108" s="251" t="str">
        <f t="shared" si="174"/>
        <v/>
      </c>
      <c r="Q1108" s="251" t="str">
        <f t="shared" si="175"/>
        <v/>
      </c>
      <c r="R1108" s="251" t="str">
        <f t="shared" si="176"/>
        <v/>
      </c>
      <c r="S1108" s="252" t="str">
        <f t="shared" si="177"/>
        <v/>
      </c>
      <c r="T1108" s="253"/>
      <c r="U1108" s="254">
        <v>0.38300000000000001</v>
      </c>
      <c r="V1108" s="254">
        <v>0.38300000000000001</v>
      </c>
      <c r="W1108" s="254">
        <v>0.38100000000000001</v>
      </c>
      <c r="X1108" s="254">
        <v>0.374</v>
      </c>
      <c r="Y1108" s="254">
        <v>0.36799999999999999</v>
      </c>
      <c r="Z1108" s="254">
        <v>0.35599999999999998</v>
      </c>
    </row>
    <row r="1109" spans="13:26" x14ac:dyDescent="0.35">
      <c r="M1109" s="250">
        <v>25200</v>
      </c>
      <c r="N1109" s="251" t="str">
        <f t="shared" si="172"/>
        <v/>
      </c>
      <c r="O1109" s="251" t="str">
        <f t="shared" si="173"/>
        <v/>
      </c>
      <c r="P1109" s="251" t="str">
        <f t="shared" si="174"/>
        <v/>
      </c>
      <c r="Q1109" s="251" t="str">
        <f t="shared" si="175"/>
        <v/>
      </c>
      <c r="R1109" s="251" t="str">
        <f t="shared" si="176"/>
        <v/>
      </c>
      <c r="S1109" s="252" t="str">
        <f t="shared" si="177"/>
        <v/>
      </c>
      <c r="T1109" s="253"/>
      <c r="U1109" s="254">
        <v>0.39300000000000002</v>
      </c>
      <c r="V1109" s="254">
        <v>0.39300000000000002</v>
      </c>
      <c r="W1109" s="254">
        <v>0.39100000000000001</v>
      </c>
      <c r="X1109" s="254">
        <v>0.38400000000000001</v>
      </c>
      <c r="Y1109" s="254">
        <v>0.38200000000000001</v>
      </c>
      <c r="Z1109" s="254">
        <v>0.36599999999999999</v>
      </c>
    </row>
    <row r="1110" spans="13:26" x14ac:dyDescent="0.35">
      <c r="M1110" s="250">
        <v>28224</v>
      </c>
      <c r="N1110" s="251" t="str">
        <f t="shared" si="172"/>
        <v/>
      </c>
      <c r="O1110" s="251" t="str">
        <f t="shared" si="173"/>
        <v/>
      </c>
      <c r="P1110" s="251" t="str">
        <f t="shared" si="174"/>
        <v/>
      </c>
      <c r="Q1110" s="251" t="str">
        <f t="shared" si="175"/>
        <v/>
      </c>
      <c r="R1110" s="251" t="str">
        <f t="shared" si="176"/>
        <v/>
      </c>
      <c r="S1110" s="252" t="str">
        <f t="shared" si="177"/>
        <v/>
      </c>
      <c r="T1110" s="253"/>
      <c r="U1110" s="254">
        <v>0.40300000000000002</v>
      </c>
      <c r="V1110" s="254">
        <v>0.40300000000000002</v>
      </c>
      <c r="W1110" s="254">
        <v>0.40100000000000002</v>
      </c>
      <c r="X1110" s="254">
        <v>0.39400000000000002</v>
      </c>
      <c r="Y1110" s="254">
        <v>0.39200000000000002</v>
      </c>
      <c r="Z1110" s="254">
        <v>0.38</v>
      </c>
    </row>
    <row r="1111" spans="13:26" x14ac:dyDescent="0.35">
      <c r="M1111" s="250">
        <v>28224</v>
      </c>
      <c r="N1111" s="251" t="str">
        <f>IF($R$11&gt;=M1110+0.01,U1111,"")</f>
        <v/>
      </c>
      <c r="O1111" s="251" t="str">
        <f>IF($R$11&gt;=M1110,V1111,"")</f>
        <v/>
      </c>
      <c r="P1111" s="251" t="str">
        <f>IF($R$11&gt;=M1110,W1111,"")</f>
        <v/>
      </c>
      <c r="Q1111" s="251" t="str">
        <f>IF($R$11&gt;=M1110,X1111,"")</f>
        <v/>
      </c>
      <c r="R1111" s="252" t="str">
        <f>IF($R$11&gt;=M1110,Y1111,"")</f>
        <v/>
      </c>
      <c r="S1111" s="251" t="str">
        <f>IF($R$11&gt;=M1110,Z1111,"")</f>
        <v/>
      </c>
      <c r="T1111" s="253"/>
      <c r="U1111" s="254">
        <v>0.41299999999999998</v>
      </c>
      <c r="V1111" s="254">
        <v>0.41299999999999998</v>
      </c>
      <c r="W1111" s="254">
        <v>0.41099999999999998</v>
      </c>
      <c r="X1111" s="254">
        <v>0.40400000000000003</v>
      </c>
      <c r="Y1111" s="254">
        <v>0.40200000000000002</v>
      </c>
      <c r="Z1111" s="254">
        <v>0.39</v>
      </c>
    </row>
    <row r="1112" spans="13:26" x14ac:dyDescent="0.35">
      <c r="M1112" s="249"/>
      <c r="N1112" s="257" t="str">
        <f>IF($A$15=3,IF($A$2=8,IF($I$2=0,SUM(N1075:N1111),""),""),"")</f>
        <v/>
      </c>
      <c r="O1112" s="258" t="str">
        <f>IF($A$15=3,IF($A$2=8,IF($I$2=1,SUM(O1075:O1111),""),""),"")</f>
        <v/>
      </c>
      <c r="P1112" s="258" t="str">
        <f>IF($A$15=3,IF($A$2=8,IF($I$2=2,SUM(P1075:P1111),""),""),"")</f>
        <v/>
      </c>
      <c r="Q1112" s="258" t="str">
        <f>IF($A$15=3,IF($A$2=8,IF($I$2=3,SUM(Q1075:Q1111),""),""),"")</f>
        <v/>
      </c>
      <c r="R1112" s="258" t="str">
        <f>IF($A$15=3,IF($A$2=8,IF($I$2=4,SUM(R1075:R1111),""),""),"")</f>
        <v/>
      </c>
      <c r="S1112" s="259" t="str">
        <f>IF($A$15=3,IF($A$2=8,IF($I$2=5,SUM(S1075:S1111),""),""),"")</f>
        <v/>
      </c>
      <c r="T1112" s="260">
        <f>SUM(N1112:S1112)</f>
        <v>0</v>
      </c>
      <c r="U1112" s="253"/>
      <c r="V1112" s="253"/>
      <c r="W1112" s="253"/>
      <c r="X1112" s="253"/>
      <c r="Y1112" s="253"/>
      <c r="Z1112" s="253"/>
    </row>
    <row r="1113" spans="13:26" x14ac:dyDescent="0.35">
      <c r="M1113" s="249"/>
      <c r="N1113" s="249"/>
      <c r="O1113" s="249"/>
      <c r="P1113" s="261"/>
      <c r="Q1113" s="261"/>
      <c r="R1113" s="261"/>
      <c r="S1113" s="249"/>
      <c r="T1113" s="253"/>
      <c r="U1113" s="253"/>
      <c r="V1113" s="253"/>
      <c r="W1113" s="253"/>
      <c r="X1113" s="253"/>
      <c r="Y1113" s="253"/>
      <c r="Z1113" s="253"/>
    </row>
    <row r="1114" spans="13:26" x14ac:dyDescent="0.35">
      <c r="M1114" s="249"/>
      <c r="N1114" s="249"/>
      <c r="O1114" s="249"/>
      <c r="P1114" s="249"/>
      <c r="Q1114" s="249"/>
      <c r="R1114" s="249"/>
      <c r="S1114" s="249"/>
      <c r="T1114" s="253"/>
      <c r="U1114" s="253"/>
      <c r="V1114" s="253"/>
      <c r="W1114" s="253"/>
      <c r="X1114" s="253"/>
      <c r="Y1114" s="253"/>
      <c r="Z1114" s="253"/>
    </row>
    <row r="1115" spans="13:26" x14ac:dyDescent="0.35">
      <c r="M1115" s="249"/>
      <c r="N1115" s="249"/>
      <c r="O1115" s="249"/>
      <c r="P1115" s="249"/>
      <c r="Q1115" s="249"/>
      <c r="R1115" s="249"/>
      <c r="S1115" s="249"/>
      <c r="T1115" s="253"/>
      <c r="U1115" s="253"/>
      <c r="V1115" s="253"/>
      <c r="W1115" s="253"/>
      <c r="X1115" s="253"/>
      <c r="Y1115" s="253"/>
      <c r="Z1115" s="253"/>
    </row>
    <row r="1116" spans="13:26" x14ac:dyDescent="0.35">
      <c r="M1116" s="263" t="s">
        <v>215</v>
      </c>
      <c r="N1116" s="284"/>
      <c r="O1116" s="284" t="s">
        <v>185</v>
      </c>
      <c r="P1116" s="284"/>
      <c r="Q1116" s="284"/>
      <c r="R1116" s="284"/>
      <c r="S1116" s="285"/>
      <c r="T1116" s="286"/>
      <c r="U1116" s="286" t="str">
        <f>O1116</f>
        <v>Tabelas de IRS de retenção na fonte referente a 2018 na Madeira</v>
      </c>
      <c r="V1116" s="286"/>
      <c r="W1116" s="286"/>
      <c r="X1116" s="286"/>
      <c r="Y1116" s="286"/>
      <c r="Z1116" s="286"/>
    </row>
    <row r="1117" spans="13:26" x14ac:dyDescent="0.35">
      <c r="M1117" s="285"/>
      <c r="N1117" s="284"/>
      <c r="O1117" s="284" t="s">
        <v>206</v>
      </c>
      <c r="P1117" s="285"/>
      <c r="Q1117" s="284"/>
      <c r="R1117" s="284"/>
      <c r="S1117" s="285"/>
      <c r="T1117" s="286"/>
      <c r="U1117" s="286"/>
      <c r="V1117" s="286"/>
      <c r="W1117" s="286"/>
      <c r="X1117" s="286"/>
      <c r="Y1117" s="286"/>
      <c r="Z1117" s="286"/>
    </row>
    <row r="1118" spans="13:26" x14ac:dyDescent="0.35">
      <c r="M1118" s="284"/>
      <c r="N1118" s="284"/>
      <c r="O1118" s="284" t="s">
        <v>180</v>
      </c>
      <c r="P1118" s="285"/>
      <c r="Q1118" s="284"/>
      <c r="R1118" s="284"/>
      <c r="S1118" s="285"/>
      <c r="T1118" s="286"/>
      <c r="U1118" s="286" t="str">
        <f>O1118</f>
        <v>CASADO DOIS TITULARES</v>
      </c>
      <c r="V1118" s="286"/>
      <c r="W1118" s="286"/>
      <c r="X1118" s="286"/>
      <c r="Y1118" s="286"/>
      <c r="Z1118" s="286"/>
    </row>
    <row r="1119" spans="13:26" x14ac:dyDescent="0.35">
      <c r="M1119" s="267" t="s">
        <v>154</v>
      </c>
      <c r="N1119" s="268" t="s">
        <v>155</v>
      </c>
      <c r="O1119" s="268" t="s">
        <v>156</v>
      </c>
      <c r="P1119" s="268" t="s">
        <v>157</v>
      </c>
      <c r="Q1119" s="268" t="s">
        <v>158</v>
      </c>
      <c r="R1119" s="268" t="s">
        <v>159</v>
      </c>
      <c r="S1119" s="268" t="s">
        <v>160</v>
      </c>
      <c r="T1119" s="253"/>
      <c r="U1119" s="269" t="str">
        <f t="shared" ref="U1119:Z1119" si="178">N1119</f>
        <v>0 dep</v>
      </c>
      <c r="V1119" s="269" t="str">
        <f t="shared" si="178"/>
        <v>1 dep</v>
      </c>
      <c r="W1119" s="269" t="str">
        <f t="shared" si="178"/>
        <v>2 dep</v>
      </c>
      <c r="X1119" s="269" t="str">
        <f t="shared" si="178"/>
        <v>3 dep</v>
      </c>
      <c r="Y1119" s="269" t="str">
        <f t="shared" si="178"/>
        <v>4 dep</v>
      </c>
      <c r="Z1119" s="269" t="str">
        <f t="shared" si="178"/>
        <v>5 dep. ou +</v>
      </c>
    </row>
    <row r="1120" spans="13:26" x14ac:dyDescent="0.35">
      <c r="M1120" s="250">
        <v>632</v>
      </c>
      <c r="N1120" s="251" t="str">
        <f>IF($R$11&lt;=M1120,IF($R$11&gt;=0,0,""),"")</f>
        <v/>
      </c>
      <c r="O1120" s="251" t="str">
        <f>IF($R$11&lt;=M1120,IF($R$11&gt;=0,0,""),"")</f>
        <v/>
      </c>
      <c r="P1120" s="251" t="str">
        <f>IF($R$11&lt;=M1120,IF($R$11&gt;=0,0,""),"")</f>
        <v/>
      </c>
      <c r="Q1120" s="251" t="str">
        <f>IF($R$11&lt;=M1120,IF($R$11&gt;=0,0,""),"")</f>
        <v/>
      </c>
      <c r="R1120" s="251" t="str">
        <f>IF($R$11&lt;=M1120,IF($R$11&gt;=0,0,""),"")</f>
        <v/>
      </c>
      <c r="S1120" s="251" t="str">
        <f>IF($R$11&lt;=M1120,IF($R$11&gt;=0,0,""),"")</f>
        <v/>
      </c>
      <c r="T1120" s="253"/>
      <c r="U1120" s="254">
        <v>0</v>
      </c>
      <c r="V1120" s="254">
        <v>0</v>
      </c>
      <c r="W1120" s="254">
        <v>0</v>
      </c>
      <c r="X1120" s="254">
        <v>0</v>
      </c>
      <c r="Y1120" s="254">
        <v>0</v>
      </c>
      <c r="Z1120" s="254">
        <v>0</v>
      </c>
    </row>
    <row r="1121" spans="13:26" x14ac:dyDescent="0.35">
      <c r="M1121" s="250">
        <v>645</v>
      </c>
      <c r="N1121" s="251" t="str">
        <f t="shared" ref="N1121:N1156" si="179">IF($R$11&lt;=M1121,IF($R$11&gt;=M1120+0.01,U1121,""),"")</f>
        <v/>
      </c>
      <c r="O1121" s="251" t="str">
        <f t="shared" ref="O1121:O1156" si="180">IF($R$11&lt;=M1121,IF($R$11&gt;=M1120+0.01,V1121,""),"")</f>
        <v/>
      </c>
      <c r="P1121" s="251" t="str">
        <f t="shared" ref="P1121:P1156" si="181">IF($R$11&lt;=M1121,IF($R$11&gt;=M1120+0.01,W1121,""),"")</f>
        <v/>
      </c>
      <c r="Q1121" s="251" t="str">
        <f t="shared" ref="Q1121:Q1156" si="182">IF($R$11&lt;=M1121,IF($R$11&gt;=M1120+0.01,X1121,""),"")</f>
        <v/>
      </c>
      <c r="R1121" s="251" t="str">
        <f t="shared" ref="R1121:R1156" si="183">IF($R$11&lt;=M1121,IF($R$11&gt;=M1120+0.01,Y1121,""),"")</f>
        <v/>
      </c>
      <c r="S1121" s="252" t="str">
        <f t="shared" ref="S1121:S1156" si="184">IF($R$11&lt;=M1121,IF($R$11&gt;=M1120+0.01,Z1121,""),"")</f>
        <v/>
      </c>
      <c r="T1121" s="253"/>
      <c r="U1121" s="254">
        <v>2.5999999999999999E-2</v>
      </c>
      <c r="V1121" s="254">
        <v>8.9999999999999993E-3</v>
      </c>
      <c r="W1121" s="254">
        <v>0</v>
      </c>
      <c r="X1121" s="254">
        <v>0</v>
      </c>
      <c r="Y1121" s="254">
        <v>0</v>
      </c>
      <c r="Z1121" s="254">
        <v>0</v>
      </c>
    </row>
    <row r="1122" spans="13:26" x14ac:dyDescent="0.35">
      <c r="M1122" s="250">
        <v>683</v>
      </c>
      <c r="N1122" s="251" t="str">
        <f t="shared" si="179"/>
        <v/>
      </c>
      <c r="O1122" s="251" t="str">
        <f t="shared" si="180"/>
        <v/>
      </c>
      <c r="P1122" s="251" t="str">
        <f t="shared" si="181"/>
        <v/>
      </c>
      <c r="Q1122" s="251" t="str">
        <f t="shared" si="182"/>
        <v/>
      </c>
      <c r="R1122" s="251" t="str">
        <f t="shared" si="183"/>
        <v/>
      </c>
      <c r="S1122" s="252" t="str">
        <f t="shared" si="184"/>
        <v/>
      </c>
      <c r="T1122" s="253"/>
      <c r="U1122" s="254">
        <v>4.2999999999999997E-2</v>
      </c>
      <c r="V1122" s="254">
        <v>2.1999999999999999E-2</v>
      </c>
      <c r="W1122" s="254">
        <v>1.4999999999999999E-2</v>
      </c>
      <c r="X1122" s="254">
        <v>0</v>
      </c>
      <c r="Y1122" s="254">
        <v>0</v>
      </c>
      <c r="Z1122" s="254">
        <v>0</v>
      </c>
    </row>
    <row r="1123" spans="13:26" x14ac:dyDescent="0.35">
      <c r="M1123" s="250">
        <v>736</v>
      </c>
      <c r="N1123" s="251" t="str">
        <f t="shared" si="179"/>
        <v/>
      </c>
      <c r="O1123" s="251" t="str">
        <f t="shared" si="180"/>
        <v/>
      </c>
      <c r="P1123" s="251" t="str">
        <f t="shared" si="181"/>
        <v/>
      </c>
      <c r="Q1123" s="251" t="str">
        <f t="shared" si="182"/>
        <v/>
      </c>
      <c r="R1123" s="251" t="str">
        <f t="shared" si="183"/>
        <v/>
      </c>
      <c r="S1123" s="252" t="str">
        <f t="shared" si="184"/>
        <v/>
      </c>
      <c r="T1123" s="253"/>
      <c r="U1123" s="254">
        <v>5.5E-2</v>
      </c>
      <c r="V1123" s="254">
        <v>3.4000000000000002E-2</v>
      </c>
      <c r="W1123" s="254">
        <v>0.02</v>
      </c>
      <c r="X1123" s="254">
        <v>6.0000000000000001E-3</v>
      </c>
      <c r="Y1123" s="254">
        <v>0</v>
      </c>
      <c r="Z1123" s="254">
        <v>0</v>
      </c>
    </row>
    <row r="1124" spans="13:26" x14ac:dyDescent="0.35">
      <c r="M1124" s="250">
        <v>811</v>
      </c>
      <c r="N1124" s="251" t="str">
        <f t="shared" si="179"/>
        <v/>
      </c>
      <c r="O1124" s="251" t="str">
        <f t="shared" si="180"/>
        <v/>
      </c>
      <c r="P1124" s="251" t="str">
        <f t="shared" si="181"/>
        <v/>
      </c>
      <c r="Q1124" s="251" t="str">
        <f t="shared" si="182"/>
        <v/>
      </c>
      <c r="R1124" s="251" t="str">
        <f t="shared" si="183"/>
        <v/>
      </c>
      <c r="S1124" s="252" t="str">
        <f t="shared" si="184"/>
        <v/>
      </c>
      <c r="T1124" s="253"/>
      <c r="U1124" s="254">
        <v>7.6999999999999999E-2</v>
      </c>
      <c r="V1124" s="254">
        <v>5.0999999999999997E-2</v>
      </c>
      <c r="W1124" s="254">
        <v>3.3000000000000002E-2</v>
      </c>
      <c r="X1124" s="254">
        <v>2.5000000000000001E-2</v>
      </c>
      <c r="Y1124" s="254">
        <v>7.0000000000000001E-3</v>
      </c>
      <c r="Z1124" s="254">
        <v>0</v>
      </c>
    </row>
    <row r="1125" spans="13:26" x14ac:dyDescent="0.35">
      <c r="M1125" s="250">
        <v>919</v>
      </c>
      <c r="N1125" s="251" t="str">
        <f t="shared" si="179"/>
        <v/>
      </c>
      <c r="O1125" s="251" t="str">
        <f t="shared" si="180"/>
        <v/>
      </c>
      <c r="P1125" s="251" t="str">
        <f t="shared" si="181"/>
        <v/>
      </c>
      <c r="Q1125" s="251" t="str">
        <f t="shared" si="182"/>
        <v/>
      </c>
      <c r="R1125" s="251" t="str">
        <f t="shared" si="183"/>
        <v/>
      </c>
      <c r="S1125" s="252" t="str">
        <f t="shared" si="184"/>
        <v/>
      </c>
      <c r="T1125" s="253"/>
      <c r="U1125" s="254">
        <v>9.8000000000000004E-2</v>
      </c>
      <c r="V1125" s="254">
        <v>7.1999999999999995E-2</v>
      </c>
      <c r="W1125" s="254">
        <v>6.4000000000000001E-2</v>
      </c>
      <c r="X1125" s="254">
        <v>3.7999999999999999E-2</v>
      </c>
      <c r="Y1125" s="254">
        <v>0.03</v>
      </c>
      <c r="Z1125" s="254">
        <v>1.2999999999999999E-2</v>
      </c>
    </row>
    <row r="1126" spans="13:26" x14ac:dyDescent="0.35">
      <c r="M1126" s="250">
        <v>1001</v>
      </c>
      <c r="N1126" s="251" t="str">
        <f t="shared" si="179"/>
        <v/>
      </c>
      <c r="O1126" s="251" t="str">
        <f t="shared" si="180"/>
        <v/>
      </c>
      <c r="P1126" s="251" t="str">
        <f t="shared" si="181"/>
        <v/>
      </c>
      <c r="Q1126" s="251" t="str">
        <f t="shared" si="182"/>
        <v/>
      </c>
      <c r="R1126" s="251" t="str">
        <f t="shared" si="183"/>
        <v/>
      </c>
      <c r="S1126" s="252" t="str">
        <f t="shared" si="184"/>
        <v/>
      </c>
      <c r="T1126" s="253"/>
      <c r="U1126" s="254">
        <v>0.11</v>
      </c>
      <c r="V1126" s="254">
        <v>8.4000000000000005E-2</v>
      </c>
      <c r="W1126" s="254">
        <v>7.5999999999999998E-2</v>
      </c>
      <c r="X1126" s="254">
        <v>5.0999999999999997E-2</v>
      </c>
      <c r="Y1126" s="254">
        <v>4.2999999999999997E-2</v>
      </c>
      <c r="Z1126" s="254">
        <v>0.03</v>
      </c>
    </row>
    <row r="1127" spans="13:26" x14ac:dyDescent="0.35">
      <c r="M1127" s="250">
        <v>1061</v>
      </c>
      <c r="N1127" s="251" t="str">
        <f t="shared" si="179"/>
        <v/>
      </c>
      <c r="O1127" s="251" t="str">
        <f t="shared" si="180"/>
        <v/>
      </c>
      <c r="P1127" s="251" t="str">
        <f t="shared" si="181"/>
        <v/>
      </c>
      <c r="Q1127" s="251" t="str">
        <f t="shared" si="182"/>
        <v/>
      </c>
      <c r="R1127" s="251" t="str">
        <f t="shared" si="183"/>
        <v/>
      </c>
      <c r="S1127" s="252" t="str">
        <f t="shared" si="184"/>
        <v/>
      </c>
      <c r="T1127" s="253"/>
      <c r="U1127" s="254">
        <v>0.123</v>
      </c>
      <c r="V1127" s="254">
        <v>9.7000000000000003E-2</v>
      </c>
      <c r="W1127" s="254">
        <v>8.7999999999999995E-2</v>
      </c>
      <c r="X1127" s="254">
        <v>6.2E-2</v>
      </c>
      <c r="Y1127" s="254">
        <v>4.9000000000000002E-2</v>
      </c>
      <c r="Z1127" s="254">
        <v>4.1000000000000002E-2</v>
      </c>
    </row>
    <row r="1128" spans="13:26" x14ac:dyDescent="0.35">
      <c r="M1128" s="250">
        <v>1139</v>
      </c>
      <c r="N1128" s="251" t="str">
        <f t="shared" si="179"/>
        <v/>
      </c>
      <c r="O1128" s="251" t="str">
        <f t="shared" si="180"/>
        <v/>
      </c>
      <c r="P1128" s="251" t="str">
        <f t="shared" si="181"/>
        <v/>
      </c>
      <c r="Q1128" s="251" t="str">
        <f t="shared" si="182"/>
        <v/>
      </c>
      <c r="R1128" s="251" t="str">
        <f t="shared" si="183"/>
        <v/>
      </c>
      <c r="S1128" s="252" t="str">
        <f t="shared" si="184"/>
        <v/>
      </c>
      <c r="T1128" s="253"/>
      <c r="U1128" s="254">
        <v>0.13400000000000001</v>
      </c>
      <c r="V1128" s="254">
        <v>0.11600000000000001</v>
      </c>
      <c r="W1128" s="254">
        <v>0.107</v>
      </c>
      <c r="X1128" s="254">
        <v>8.1000000000000003E-2</v>
      </c>
      <c r="Y1128" s="254">
        <v>7.2999999999999995E-2</v>
      </c>
      <c r="Z1128" s="254">
        <v>5.5E-2</v>
      </c>
    </row>
    <row r="1129" spans="13:26" x14ac:dyDescent="0.35">
      <c r="M1129" s="250">
        <v>1221</v>
      </c>
      <c r="N1129" s="251" t="str">
        <f t="shared" si="179"/>
        <v/>
      </c>
      <c r="O1129" s="251" t="str">
        <f t="shared" si="180"/>
        <v/>
      </c>
      <c r="P1129" s="251" t="str">
        <f t="shared" si="181"/>
        <v/>
      </c>
      <c r="Q1129" s="251" t="str">
        <f t="shared" si="182"/>
        <v/>
      </c>
      <c r="R1129" s="251" t="str">
        <f t="shared" si="183"/>
        <v/>
      </c>
      <c r="S1129" s="252" t="str">
        <f t="shared" si="184"/>
        <v/>
      </c>
      <c r="T1129" s="253"/>
      <c r="U1129" s="254">
        <v>0.14299999999999999</v>
      </c>
      <c r="V1129" s="254">
        <v>0.127</v>
      </c>
      <c r="W1129" s="254">
        <v>0.11700000000000001</v>
      </c>
      <c r="X1129" s="254">
        <v>9.0999999999999998E-2</v>
      </c>
      <c r="Y1129" s="254">
        <v>8.2000000000000003E-2</v>
      </c>
      <c r="Z1129" s="254">
        <v>6.5000000000000002E-2</v>
      </c>
    </row>
    <row r="1130" spans="13:26" x14ac:dyDescent="0.35">
      <c r="M1130" s="250">
        <v>1317</v>
      </c>
      <c r="N1130" s="251" t="str">
        <f t="shared" si="179"/>
        <v/>
      </c>
      <c r="O1130" s="251" t="str">
        <f t="shared" si="180"/>
        <v/>
      </c>
      <c r="P1130" s="251" t="str">
        <f t="shared" si="181"/>
        <v/>
      </c>
      <c r="Q1130" s="251" t="str">
        <f t="shared" si="182"/>
        <v/>
      </c>
      <c r="R1130" s="251" t="str">
        <f t="shared" si="183"/>
        <v/>
      </c>
      <c r="S1130" s="252" t="str">
        <f t="shared" si="184"/>
        <v/>
      </c>
      <c r="T1130" s="253"/>
      <c r="U1130" s="254">
        <v>0.154</v>
      </c>
      <c r="V1130" s="254">
        <v>0.14599999999999999</v>
      </c>
      <c r="W1130" s="254">
        <v>0.129</v>
      </c>
      <c r="X1130" s="254">
        <v>0.109</v>
      </c>
      <c r="Y1130" s="254">
        <v>9.1999999999999998E-2</v>
      </c>
      <c r="Z1130" s="254">
        <v>8.3000000000000004E-2</v>
      </c>
    </row>
    <row r="1131" spans="13:26" x14ac:dyDescent="0.35">
      <c r="M1131" s="250">
        <v>1419</v>
      </c>
      <c r="N1131" s="251" t="str">
        <f t="shared" si="179"/>
        <v/>
      </c>
      <c r="O1131" s="251" t="str">
        <f t="shared" si="180"/>
        <v/>
      </c>
      <c r="P1131" s="251" t="str">
        <f t="shared" si="181"/>
        <v/>
      </c>
      <c r="Q1131" s="251" t="str">
        <f t="shared" si="182"/>
        <v/>
      </c>
      <c r="R1131" s="251" t="str">
        <f t="shared" si="183"/>
        <v/>
      </c>
      <c r="S1131" s="252" t="str">
        <f t="shared" si="184"/>
        <v/>
      </c>
      <c r="T1131" s="253"/>
      <c r="U1131" s="254">
        <v>0.16400000000000001</v>
      </c>
      <c r="V1131" s="254">
        <v>0.156</v>
      </c>
      <c r="W1131" s="254">
        <v>0.13800000000000001</v>
      </c>
      <c r="X1131" s="254">
        <v>0.121</v>
      </c>
      <c r="Y1131" s="254">
        <v>0.10199999999999999</v>
      </c>
      <c r="Z1131" s="254">
        <v>9.4E-2</v>
      </c>
    </row>
    <row r="1132" spans="13:26" x14ac:dyDescent="0.35">
      <c r="M1132" s="250">
        <v>1557</v>
      </c>
      <c r="N1132" s="251" t="str">
        <f t="shared" si="179"/>
        <v/>
      </c>
      <c r="O1132" s="251" t="str">
        <f t="shared" si="180"/>
        <v/>
      </c>
      <c r="P1132" s="251" t="str">
        <f t="shared" si="181"/>
        <v/>
      </c>
      <c r="Q1132" s="251" t="str">
        <f t="shared" si="182"/>
        <v/>
      </c>
      <c r="R1132" s="251" t="str">
        <f t="shared" si="183"/>
        <v/>
      </c>
      <c r="S1132" s="252" t="str">
        <f t="shared" si="184"/>
        <v/>
      </c>
      <c r="T1132" s="253"/>
      <c r="U1132" s="254">
        <v>0.17399999999999999</v>
      </c>
      <c r="V1132" s="254">
        <v>0.16600000000000001</v>
      </c>
      <c r="W1132" s="254">
        <v>0.14799999999999999</v>
      </c>
      <c r="X1132" s="254">
        <v>0.13100000000000001</v>
      </c>
      <c r="Y1132" s="254">
        <v>0.113</v>
      </c>
      <c r="Z1132" s="254">
        <v>0.104</v>
      </c>
    </row>
    <row r="1133" spans="13:26" x14ac:dyDescent="0.35">
      <c r="M1133" s="250">
        <v>1705</v>
      </c>
      <c r="N1133" s="251">
        <f t="shared" si="179"/>
        <v>0.189</v>
      </c>
      <c r="O1133" s="251">
        <f t="shared" si="180"/>
        <v>0.18099999999999999</v>
      </c>
      <c r="P1133" s="251">
        <f t="shared" si="181"/>
        <v>0.16400000000000001</v>
      </c>
      <c r="Q1133" s="251">
        <f t="shared" si="182"/>
        <v>0.14499999999999999</v>
      </c>
      <c r="R1133" s="251">
        <f t="shared" si="183"/>
        <v>0.13600000000000001</v>
      </c>
      <c r="S1133" s="252">
        <f t="shared" si="184"/>
        <v>0.11899999999999999</v>
      </c>
      <c r="T1133" s="253"/>
      <c r="U1133" s="254">
        <v>0.189</v>
      </c>
      <c r="V1133" s="254">
        <v>0.18099999999999999</v>
      </c>
      <c r="W1133" s="254">
        <v>0.16400000000000001</v>
      </c>
      <c r="X1133" s="254">
        <v>0.14499999999999999</v>
      </c>
      <c r="Y1133" s="254">
        <v>0.13600000000000001</v>
      </c>
      <c r="Z1133" s="254">
        <v>0.11899999999999999</v>
      </c>
    </row>
    <row r="1134" spans="13:26" x14ac:dyDescent="0.35">
      <c r="M1134" s="250">
        <v>1864</v>
      </c>
      <c r="N1134" s="251" t="str">
        <f t="shared" si="179"/>
        <v/>
      </c>
      <c r="O1134" s="251" t="str">
        <f t="shared" si="180"/>
        <v/>
      </c>
      <c r="P1134" s="251" t="str">
        <f t="shared" si="181"/>
        <v/>
      </c>
      <c r="Q1134" s="251" t="str">
        <f t="shared" si="182"/>
        <v/>
      </c>
      <c r="R1134" s="251" t="str">
        <f t="shared" si="183"/>
        <v/>
      </c>
      <c r="S1134" s="252" t="str">
        <f t="shared" si="184"/>
        <v/>
      </c>
      <c r="T1134" s="253"/>
      <c r="U1134" s="254">
        <v>0.20399999999999999</v>
      </c>
      <c r="V1134" s="254">
        <v>0.19800000000000001</v>
      </c>
      <c r="W1134" s="254">
        <v>0.18099999999999999</v>
      </c>
      <c r="X1134" s="254">
        <v>0.16400000000000001</v>
      </c>
      <c r="Y1134" s="254">
        <v>0.156</v>
      </c>
      <c r="Z1134" s="254">
        <v>0.13900000000000001</v>
      </c>
    </row>
    <row r="1135" spans="13:26" x14ac:dyDescent="0.35">
      <c r="M1135" s="250">
        <v>1971</v>
      </c>
      <c r="N1135" s="251" t="str">
        <f t="shared" si="179"/>
        <v/>
      </c>
      <c r="O1135" s="251" t="str">
        <f t="shared" si="180"/>
        <v/>
      </c>
      <c r="P1135" s="251" t="str">
        <f t="shared" si="181"/>
        <v/>
      </c>
      <c r="Q1135" s="251" t="str">
        <f t="shared" si="182"/>
        <v/>
      </c>
      <c r="R1135" s="251" t="str">
        <f t="shared" si="183"/>
        <v/>
      </c>
      <c r="S1135" s="252" t="str">
        <f t="shared" si="184"/>
        <v/>
      </c>
      <c r="T1135" s="253"/>
      <c r="U1135" s="254">
        <v>0.214</v>
      </c>
      <c r="V1135" s="254">
        <v>0.20899999999999999</v>
      </c>
      <c r="W1135" s="254">
        <v>0.19</v>
      </c>
      <c r="X1135" s="254">
        <v>0.17299999999999999</v>
      </c>
      <c r="Y1135" s="254">
        <v>0.16500000000000001</v>
      </c>
      <c r="Z1135" s="254">
        <v>0.14799999999999999</v>
      </c>
    </row>
    <row r="1136" spans="13:26" x14ac:dyDescent="0.35">
      <c r="M1136" s="250">
        <v>2083</v>
      </c>
      <c r="N1136" s="251" t="str">
        <f t="shared" si="179"/>
        <v/>
      </c>
      <c r="O1136" s="251" t="str">
        <f t="shared" si="180"/>
        <v/>
      </c>
      <c r="P1136" s="251" t="str">
        <f t="shared" si="181"/>
        <v/>
      </c>
      <c r="Q1136" s="251" t="str">
        <f t="shared" si="182"/>
        <v/>
      </c>
      <c r="R1136" s="251" t="str">
        <f t="shared" si="183"/>
        <v/>
      </c>
      <c r="S1136" s="252" t="str">
        <f t="shared" si="184"/>
        <v/>
      </c>
      <c r="T1136" s="253"/>
      <c r="U1136" s="254">
        <v>0.22600000000000001</v>
      </c>
      <c r="V1136" s="254">
        <v>0.221</v>
      </c>
      <c r="W1136" s="254">
        <v>0.20300000000000001</v>
      </c>
      <c r="X1136" s="254">
        <v>0.184</v>
      </c>
      <c r="Y1136" s="254">
        <v>0.17699999999999999</v>
      </c>
      <c r="Z1136" s="254">
        <v>0.16900000000000001</v>
      </c>
    </row>
    <row r="1137" spans="13:26" x14ac:dyDescent="0.35">
      <c r="M1137" s="250">
        <v>2211</v>
      </c>
      <c r="N1137" s="251" t="str">
        <f t="shared" si="179"/>
        <v/>
      </c>
      <c r="O1137" s="251" t="str">
        <f t="shared" si="180"/>
        <v/>
      </c>
      <c r="P1137" s="251" t="str">
        <f t="shared" si="181"/>
        <v/>
      </c>
      <c r="Q1137" s="251" t="str">
        <f t="shared" si="182"/>
        <v/>
      </c>
      <c r="R1137" s="251" t="str">
        <f t="shared" si="183"/>
        <v/>
      </c>
      <c r="S1137" s="252" t="str">
        <f t="shared" si="184"/>
        <v/>
      </c>
      <c r="T1137" s="253"/>
      <c r="U1137" s="254">
        <v>0.23599999999999999</v>
      </c>
      <c r="V1137" s="254">
        <v>0.23100000000000001</v>
      </c>
      <c r="W1137" s="254">
        <v>0.214</v>
      </c>
      <c r="X1137" s="254">
        <v>0.19600000000000001</v>
      </c>
      <c r="Y1137" s="254">
        <v>0.186</v>
      </c>
      <c r="Z1137" s="254">
        <v>0.17899999999999999</v>
      </c>
    </row>
    <row r="1138" spans="13:26" x14ac:dyDescent="0.35">
      <c r="M1138" s="250">
        <v>2359</v>
      </c>
      <c r="N1138" s="251" t="str">
        <f t="shared" si="179"/>
        <v/>
      </c>
      <c r="O1138" s="251" t="str">
        <f t="shared" si="180"/>
        <v/>
      </c>
      <c r="P1138" s="251" t="str">
        <f t="shared" si="181"/>
        <v/>
      </c>
      <c r="Q1138" s="251" t="str">
        <f t="shared" si="182"/>
        <v/>
      </c>
      <c r="R1138" s="251" t="str">
        <f t="shared" si="183"/>
        <v/>
      </c>
      <c r="S1138" s="252" t="str">
        <f t="shared" si="184"/>
        <v/>
      </c>
      <c r="T1138" s="253"/>
      <c r="U1138" s="254">
        <v>0.246</v>
      </c>
      <c r="V1138" s="254">
        <v>0.24199999999999999</v>
      </c>
      <c r="W1138" s="254">
        <v>0.23400000000000001</v>
      </c>
      <c r="X1138" s="254">
        <v>0.20599999999999999</v>
      </c>
      <c r="Y1138" s="254">
        <v>0.19800000000000001</v>
      </c>
      <c r="Z1138" s="254">
        <v>0.189</v>
      </c>
    </row>
    <row r="1139" spans="13:26" x14ac:dyDescent="0.35">
      <c r="M1139" s="250">
        <v>2527</v>
      </c>
      <c r="N1139" s="251" t="str">
        <f t="shared" si="179"/>
        <v/>
      </c>
      <c r="O1139" s="251" t="str">
        <f t="shared" si="180"/>
        <v/>
      </c>
      <c r="P1139" s="251" t="str">
        <f t="shared" si="181"/>
        <v/>
      </c>
      <c r="Q1139" s="251" t="str">
        <f t="shared" si="182"/>
        <v/>
      </c>
      <c r="R1139" s="251" t="str">
        <f t="shared" si="183"/>
        <v/>
      </c>
      <c r="S1139" s="252" t="str">
        <f t="shared" si="184"/>
        <v/>
      </c>
      <c r="T1139" s="253"/>
      <c r="U1139" s="254">
        <v>0.25600000000000001</v>
      </c>
      <c r="V1139" s="254">
        <v>0.251</v>
      </c>
      <c r="W1139" s="254">
        <v>0.24399999999999999</v>
      </c>
      <c r="X1139" s="254">
        <v>0.217</v>
      </c>
      <c r="Y1139" s="254">
        <v>0.20899999999999999</v>
      </c>
      <c r="Z1139" s="254">
        <v>0.20100000000000001</v>
      </c>
    </row>
    <row r="1140" spans="13:26" x14ac:dyDescent="0.35">
      <c r="M1140" s="250">
        <v>2758</v>
      </c>
      <c r="N1140" s="251" t="str">
        <f t="shared" si="179"/>
        <v/>
      </c>
      <c r="O1140" s="251" t="str">
        <f t="shared" si="180"/>
        <v/>
      </c>
      <c r="P1140" s="251" t="str">
        <f t="shared" si="181"/>
        <v/>
      </c>
      <c r="Q1140" s="251" t="str">
        <f t="shared" si="182"/>
        <v/>
      </c>
      <c r="R1140" s="251" t="str">
        <f t="shared" si="183"/>
        <v/>
      </c>
      <c r="S1140" s="252" t="str">
        <f t="shared" si="184"/>
        <v/>
      </c>
      <c r="T1140" s="253"/>
      <c r="U1140" s="254">
        <v>0.26600000000000001</v>
      </c>
      <c r="V1140" s="254">
        <v>0.26100000000000001</v>
      </c>
      <c r="W1140" s="254">
        <v>0.253</v>
      </c>
      <c r="X1140" s="254">
        <v>0.22700000000000001</v>
      </c>
      <c r="Y1140" s="254">
        <v>0.219</v>
      </c>
      <c r="Z1140" s="254">
        <v>0.21099999999999999</v>
      </c>
    </row>
    <row r="1141" spans="13:26" x14ac:dyDescent="0.35">
      <c r="M1141" s="250">
        <v>3094</v>
      </c>
      <c r="N1141" s="251" t="str">
        <f t="shared" si="179"/>
        <v/>
      </c>
      <c r="O1141" s="251" t="str">
        <f t="shared" si="180"/>
        <v/>
      </c>
      <c r="P1141" s="251" t="str">
        <f t="shared" si="181"/>
        <v/>
      </c>
      <c r="Q1141" s="251" t="str">
        <f t="shared" si="182"/>
        <v/>
      </c>
      <c r="R1141" s="251" t="str">
        <f t="shared" si="183"/>
        <v/>
      </c>
      <c r="S1141" s="252" t="str">
        <f t="shared" si="184"/>
        <v/>
      </c>
      <c r="T1141" s="253"/>
      <c r="U1141" s="254">
        <v>0.28199999999999997</v>
      </c>
      <c r="V1141" s="254">
        <v>0.27700000000000002</v>
      </c>
      <c r="W1141" s="254">
        <v>0.26900000000000002</v>
      </c>
      <c r="X1141" s="254">
        <v>0.24099999999999999</v>
      </c>
      <c r="Y1141" s="254">
        <v>0.23300000000000001</v>
      </c>
      <c r="Z1141" s="254">
        <v>0.22500000000000001</v>
      </c>
    </row>
    <row r="1142" spans="13:26" x14ac:dyDescent="0.35">
      <c r="M1142" s="250">
        <v>3523</v>
      </c>
      <c r="N1142" s="251" t="str">
        <f t="shared" si="179"/>
        <v/>
      </c>
      <c r="O1142" s="251" t="str">
        <f t="shared" si="180"/>
        <v/>
      </c>
      <c r="P1142" s="251" t="str">
        <f t="shared" si="181"/>
        <v/>
      </c>
      <c r="Q1142" s="251" t="str">
        <f t="shared" si="182"/>
        <v/>
      </c>
      <c r="R1142" s="251" t="str">
        <f t="shared" si="183"/>
        <v/>
      </c>
      <c r="S1142" s="252" t="str">
        <f t="shared" si="184"/>
        <v/>
      </c>
      <c r="T1142" s="253"/>
      <c r="U1142" s="254">
        <v>0.29399999999999998</v>
      </c>
      <c r="V1142" s="254">
        <v>0.29299999999999998</v>
      </c>
      <c r="W1142" s="254">
        <v>0.28899999999999998</v>
      </c>
      <c r="X1142" s="254">
        <v>0.26500000000000001</v>
      </c>
      <c r="Y1142" s="254">
        <v>0.26100000000000001</v>
      </c>
      <c r="Z1142" s="254">
        <v>0.25700000000000001</v>
      </c>
    </row>
    <row r="1143" spans="13:26" x14ac:dyDescent="0.35">
      <c r="M1143" s="250">
        <v>4105</v>
      </c>
      <c r="N1143" s="251" t="str">
        <f t="shared" si="179"/>
        <v/>
      </c>
      <c r="O1143" s="251" t="str">
        <f t="shared" si="180"/>
        <v/>
      </c>
      <c r="P1143" s="251" t="str">
        <f t="shared" si="181"/>
        <v/>
      </c>
      <c r="Q1143" s="251" t="str">
        <f t="shared" si="182"/>
        <v/>
      </c>
      <c r="R1143" s="251" t="str">
        <f t="shared" si="183"/>
        <v/>
      </c>
      <c r="S1143" s="252" t="str">
        <f t="shared" si="184"/>
        <v/>
      </c>
      <c r="T1143" s="253"/>
      <c r="U1143" s="254">
        <v>0.30599999999999999</v>
      </c>
      <c r="V1143" s="254">
        <v>0.30599999999999999</v>
      </c>
      <c r="W1143" s="254">
        <v>0.29899999999999999</v>
      </c>
      <c r="X1143" s="254">
        <v>0.28499999999999998</v>
      </c>
      <c r="Y1143" s="254">
        <v>0.27100000000000002</v>
      </c>
      <c r="Z1143" s="254">
        <v>0.26700000000000002</v>
      </c>
    </row>
    <row r="1144" spans="13:26" x14ac:dyDescent="0.35">
      <c r="M1144" s="250">
        <v>4636</v>
      </c>
      <c r="N1144" s="251" t="str">
        <f t="shared" si="179"/>
        <v/>
      </c>
      <c r="O1144" s="251" t="str">
        <f t="shared" si="180"/>
        <v/>
      </c>
      <c r="P1144" s="251" t="str">
        <f t="shared" si="181"/>
        <v/>
      </c>
      <c r="Q1144" s="251" t="str">
        <f t="shared" si="182"/>
        <v/>
      </c>
      <c r="R1144" s="251" t="str">
        <f t="shared" si="183"/>
        <v/>
      </c>
      <c r="S1144" s="252" t="str">
        <f t="shared" si="184"/>
        <v/>
      </c>
      <c r="T1144" s="253"/>
      <c r="U1144" s="254">
        <v>0.32300000000000001</v>
      </c>
      <c r="V1144" s="254">
        <v>0.32</v>
      </c>
      <c r="W1144" s="254">
        <v>0.316</v>
      </c>
      <c r="X1144" s="254">
        <v>0.3</v>
      </c>
      <c r="Y1144" s="254">
        <v>0.28599999999999998</v>
      </c>
      <c r="Z1144" s="254">
        <v>0.28199999999999997</v>
      </c>
    </row>
    <row r="1145" spans="13:26" x14ac:dyDescent="0.35">
      <c r="M1145" s="250">
        <v>5178</v>
      </c>
      <c r="N1145" s="251" t="str">
        <f t="shared" si="179"/>
        <v/>
      </c>
      <c r="O1145" s="251" t="str">
        <f t="shared" si="180"/>
        <v/>
      </c>
      <c r="P1145" s="251" t="str">
        <f t="shared" si="181"/>
        <v/>
      </c>
      <c r="Q1145" s="251" t="str">
        <f t="shared" si="182"/>
        <v/>
      </c>
      <c r="R1145" s="251" t="str">
        <f t="shared" si="183"/>
        <v/>
      </c>
      <c r="S1145" s="252" t="str">
        <f t="shared" si="184"/>
        <v/>
      </c>
      <c r="T1145" s="253"/>
      <c r="U1145" s="254">
        <v>0.33300000000000002</v>
      </c>
      <c r="V1145" s="254">
        <v>0.33</v>
      </c>
      <c r="W1145" s="254">
        <v>0.32600000000000001</v>
      </c>
      <c r="X1145" s="254">
        <v>0.312</v>
      </c>
      <c r="Y1145" s="254">
        <v>0.30599999999999999</v>
      </c>
      <c r="Z1145" s="254">
        <v>0.29199999999999998</v>
      </c>
    </row>
    <row r="1146" spans="13:26" x14ac:dyDescent="0.35">
      <c r="M1146" s="250">
        <v>5862</v>
      </c>
      <c r="N1146" s="251" t="str">
        <f t="shared" si="179"/>
        <v/>
      </c>
      <c r="O1146" s="251" t="str">
        <f t="shared" si="180"/>
        <v/>
      </c>
      <c r="P1146" s="251" t="str">
        <f t="shared" si="181"/>
        <v/>
      </c>
      <c r="Q1146" s="251" t="str">
        <f t="shared" si="182"/>
        <v/>
      </c>
      <c r="R1146" s="251" t="str">
        <f t="shared" si="183"/>
        <v/>
      </c>
      <c r="S1146" s="252" t="str">
        <f t="shared" si="184"/>
        <v/>
      </c>
      <c r="T1146" s="253"/>
      <c r="U1146" s="254">
        <v>0.34300000000000003</v>
      </c>
      <c r="V1146" s="254">
        <v>0.34</v>
      </c>
      <c r="W1146" s="254">
        <v>0.33600000000000002</v>
      </c>
      <c r="X1146" s="254">
        <v>0.32200000000000001</v>
      </c>
      <c r="Y1146" s="254">
        <v>0.318</v>
      </c>
      <c r="Z1146" s="254">
        <v>0.30199999999999999</v>
      </c>
    </row>
    <row r="1147" spans="13:26" x14ac:dyDescent="0.35">
      <c r="M1147" s="250">
        <v>6706</v>
      </c>
      <c r="N1147" s="251" t="str">
        <f t="shared" si="179"/>
        <v/>
      </c>
      <c r="O1147" s="251" t="str">
        <f t="shared" si="180"/>
        <v/>
      </c>
      <c r="P1147" s="251" t="str">
        <f t="shared" si="181"/>
        <v/>
      </c>
      <c r="Q1147" s="251" t="str">
        <f t="shared" si="182"/>
        <v/>
      </c>
      <c r="R1147" s="251" t="str">
        <f t="shared" si="183"/>
        <v/>
      </c>
      <c r="S1147" s="252" t="str">
        <f t="shared" si="184"/>
        <v/>
      </c>
      <c r="T1147" s="253"/>
      <c r="U1147" s="254">
        <v>0.36499999999999999</v>
      </c>
      <c r="V1147" s="254">
        <v>0.36299999999999999</v>
      </c>
      <c r="W1147" s="254">
        <v>0.35699999999999998</v>
      </c>
      <c r="X1147" s="254">
        <v>0.35</v>
      </c>
      <c r="Y1147" s="254">
        <v>0.34799999999999998</v>
      </c>
      <c r="Z1147" s="254">
        <v>0.34599999999999997</v>
      </c>
    </row>
    <row r="1148" spans="13:26" x14ac:dyDescent="0.35">
      <c r="M1148" s="250">
        <v>7915</v>
      </c>
      <c r="N1148" s="251" t="str">
        <f t="shared" si="179"/>
        <v/>
      </c>
      <c r="O1148" s="251" t="str">
        <f t="shared" si="180"/>
        <v/>
      </c>
      <c r="P1148" s="251" t="str">
        <f t="shared" si="181"/>
        <v/>
      </c>
      <c r="Q1148" s="251" t="str">
        <f t="shared" si="182"/>
        <v/>
      </c>
      <c r="R1148" s="251" t="str">
        <f t="shared" si="183"/>
        <v/>
      </c>
      <c r="S1148" s="252" t="str">
        <f t="shared" si="184"/>
        <v/>
      </c>
      <c r="T1148" s="253"/>
      <c r="U1148" s="254">
        <v>0.375</v>
      </c>
      <c r="V1148" s="254">
        <v>0.373</v>
      </c>
      <c r="W1148" s="254">
        <v>0.371</v>
      </c>
      <c r="X1148" s="254">
        <v>0.36</v>
      </c>
      <c r="Y1148" s="254">
        <v>0.35799999999999998</v>
      </c>
      <c r="Z1148" s="254">
        <v>0.35599999999999998</v>
      </c>
    </row>
    <row r="1149" spans="13:26" x14ac:dyDescent="0.35">
      <c r="M1149" s="250">
        <v>9531</v>
      </c>
      <c r="N1149" s="251" t="str">
        <f t="shared" si="179"/>
        <v/>
      </c>
      <c r="O1149" s="251" t="str">
        <f t="shared" si="180"/>
        <v/>
      </c>
      <c r="P1149" s="251" t="str">
        <f t="shared" si="181"/>
        <v/>
      </c>
      <c r="Q1149" s="251" t="str">
        <f t="shared" si="182"/>
        <v/>
      </c>
      <c r="R1149" s="251" t="str">
        <f t="shared" si="183"/>
        <v/>
      </c>
      <c r="S1149" s="252" t="str">
        <f t="shared" si="184"/>
        <v/>
      </c>
      <c r="T1149" s="253"/>
      <c r="U1149" s="254">
        <v>0.39500000000000002</v>
      </c>
      <c r="V1149" s="254">
        <v>0.39300000000000002</v>
      </c>
      <c r="W1149" s="254">
        <v>0.39100000000000001</v>
      </c>
      <c r="X1149" s="254">
        <v>0.38</v>
      </c>
      <c r="Y1149" s="254">
        <v>0.378</v>
      </c>
      <c r="Z1149" s="254">
        <v>0.376</v>
      </c>
    </row>
    <row r="1150" spans="13:26" x14ac:dyDescent="0.35">
      <c r="M1150" s="250">
        <v>11248</v>
      </c>
      <c r="N1150" s="251" t="str">
        <f t="shared" si="179"/>
        <v/>
      </c>
      <c r="O1150" s="251" t="str">
        <f t="shared" si="180"/>
        <v/>
      </c>
      <c r="P1150" s="251" t="str">
        <f t="shared" si="181"/>
        <v/>
      </c>
      <c r="Q1150" s="251" t="str">
        <f t="shared" si="182"/>
        <v/>
      </c>
      <c r="R1150" s="251" t="str">
        <f t="shared" si="183"/>
        <v/>
      </c>
      <c r="S1150" s="252" t="str">
        <f t="shared" si="184"/>
        <v/>
      </c>
      <c r="T1150" s="253"/>
      <c r="U1150" s="254">
        <v>0.40500000000000003</v>
      </c>
      <c r="V1150" s="254">
        <v>0.40300000000000002</v>
      </c>
      <c r="W1150" s="254">
        <v>0.40100000000000002</v>
      </c>
      <c r="X1150" s="254">
        <v>0.39400000000000002</v>
      </c>
      <c r="Y1150" s="254">
        <v>0.38800000000000001</v>
      </c>
      <c r="Z1150" s="254">
        <v>0.38600000000000001</v>
      </c>
    </row>
    <row r="1151" spans="13:26" x14ac:dyDescent="0.35">
      <c r="M1151" s="250">
        <v>18797</v>
      </c>
      <c r="N1151" s="251" t="str">
        <f t="shared" si="179"/>
        <v/>
      </c>
      <c r="O1151" s="251" t="str">
        <f t="shared" si="180"/>
        <v/>
      </c>
      <c r="P1151" s="251" t="str">
        <f t="shared" si="181"/>
        <v/>
      </c>
      <c r="Q1151" s="251" t="str">
        <f t="shared" si="182"/>
        <v/>
      </c>
      <c r="R1151" s="251" t="str">
        <f t="shared" si="183"/>
        <v/>
      </c>
      <c r="S1151" s="252" t="str">
        <f t="shared" si="184"/>
        <v/>
      </c>
      <c r="T1151" s="253"/>
      <c r="U1151" s="254">
        <v>0.41499999999999998</v>
      </c>
      <c r="V1151" s="254">
        <v>0.41299999999999998</v>
      </c>
      <c r="W1151" s="254">
        <v>0.41099999999999998</v>
      </c>
      <c r="X1151" s="254">
        <v>0.40400000000000003</v>
      </c>
      <c r="Y1151" s="254">
        <v>0.40200000000000002</v>
      </c>
      <c r="Z1151" s="254">
        <v>0.39600000000000002</v>
      </c>
    </row>
    <row r="1152" spans="13:26" x14ac:dyDescent="0.35">
      <c r="M1152" s="250">
        <v>20160</v>
      </c>
      <c r="N1152" s="251" t="str">
        <f t="shared" si="179"/>
        <v/>
      </c>
      <c r="O1152" s="251" t="str">
        <f t="shared" si="180"/>
        <v/>
      </c>
      <c r="P1152" s="251" t="str">
        <f t="shared" si="181"/>
        <v/>
      </c>
      <c r="Q1152" s="251" t="str">
        <f t="shared" si="182"/>
        <v/>
      </c>
      <c r="R1152" s="251" t="str">
        <f t="shared" si="183"/>
        <v/>
      </c>
      <c r="S1152" s="252" t="str">
        <f t="shared" si="184"/>
        <v/>
      </c>
      <c r="T1152" s="253"/>
      <c r="U1152" s="254">
        <v>0.42499999999999999</v>
      </c>
      <c r="V1152" s="254">
        <v>0.42299999999999999</v>
      </c>
      <c r="W1152" s="254">
        <v>0.42099999999999999</v>
      </c>
      <c r="X1152" s="254">
        <v>0.41399999999999998</v>
      </c>
      <c r="Y1152" s="254">
        <v>0.41199999999999998</v>
      </c>
      <c r="Z1152" s="254">
        <v>0.40600000000000003</v>
      </c>
    </row>
    <row r="1153" spans="13:26" x14ac:dyDescent="0.35">
      <c r="M1153" s="250">
        <v>22680</v>
      </c>
      <c r="N1153" s="251" t="str">
        <f t="shared" si="179"/>
        <v/>
      </c>
      <c r="O1153" s="251" t="str">
        <f t="shared" si="180"/>
        <v/>
      </c>
      <c r="P1153" s="251" t="str">
        <f t="shared" si="181"/>
        <v/>
      </c>
      <c r="Q1153" s="251" t="str">
        <f t="shared" si="182"/>
        <v/>
      </c>
      <c r="R1153" s="251" t="str">
        <f t="shared" si="183"/>
        <v/>
      </c>
      <c r="S1153" s="252" t="str">
        <f t="shared" si="184"/>
        <v/>
      </c>
      <c r="T1153" s="253"/>
      <c r="U1153" s="254">
        <v>0.433</v>
      </c>
      <c r="V1153" s="254">
        <v>0.433</v>
      </c>
      <c r="W1153" s="254">
        <v>0.43099999999999999</v>
      </c>
      <c r="X1153" s="254">
        <v>0.42399999999999999</v>
      </c>
      <c r="Y1153" s="254">
        <v>0.42199999999999999</v>
      </c>
      <c r="Z1153" s="254">
        <v>0.41799999999999998</v>
      </c>
    </row>
    <row r="1154" spans="13:26" x14ac:dyDescent="0.35">
      <c r="M1154" s="250">
        <v>25200</v>
      </c>
      <c r="N1154" s="251" t="str">
        <f t="shared" si="179"/>
        <v/>
      </c>
      <c r="O1154" s="251" t="str">
        <f t="shared" si="180"/>
        <v/>
      </c>
      <c r="P1154" s="251" t="str">
        <f t="shared" si="181"/>
        <v/>
      </c>
      <c r="Q1154" s="251" t="str">
        <f t="shared" si="182"/>
        <v/>
      </c>
      <c r="R1154" s="251" t="str">
        <f t="shared" si="183"/>
        <v/>
      </c>
      <c r="S1154" s="252" t="str">
        <f t="shared" si="184"/>
        <v/>
      </c>
      <c r="T1154" s="253"/>
      <c r="U1154" s="254">
        <v>0.443</v>
      </c>
      <c r="V1154" s="254">
        <v>0.443</v>
      </c>
      <c r="W1154" s="254">
        <v>0.441</v>
      </c>
      <c r="X1154" s="254">
        <v>0.434</v>
      </c>
      <c r="Y1154" s="254">
        <v>0.432</v>
      </c>
      <c r="Z1154" s="254">
        <v>0.43</v>
      </c>
    </row>
    <row r="1155" spans="13:26" x14ac:dyDescent="0.35">
      <c r="M1155" s="250">
        <v>25200</v>
      </c>
      <c r="N1155" s="251" t="str">
        <f t="shared" si="179"/>
        <v/>
      </c>
      <c r="O1155" s="251" t="str">
        <f t="shared" si="180"/>
        <v/>
      </c>
      <c r="P1155" s="251" t="str">
        <f t="shared" si="181"/>
        <v/>
      </c>
      <c r="Q1155" s="251" t="str">
        <f t="shared" si="182"/>
        <v/>
      </c>
      <c r="R1155" s="251" t="str">
        <f t="shared" si="183"/>
        <v/>
      </c>
      <c r="S1155" s="252" t="str">
        <f t="shared" si="184"/>
        <v/>
      </c>
      <c r="T1155" s="253"/>
      <c r="U1155" s="254">
        <v>0.45300000000000001</v>
      </c>
      <c r="V1155" s="254">
        <v>0.45300000000000001</v>
      </c>
      <c r="W1155" s="254">
        <v>0.45100000000000001</v>
      </c>
      <c r="X1155" s="254">
        <v>0.44400000000000001</v>
      </c>
      <c r="Y1155" s="254">
        <v>0.442</v>
      </c>
      <c r="Z1155" s="254">
        <v>0.44</v>
      </c>
    </row>
    <row r="1156" spans="13:26" x14ac:dyDescent="0.35">
      <c r="M1156" s="250">
        <v>25200</v>
      </c>
      <c r="N1156" s="251" t="str">
        <f t="shared" si="179"/>
        <v/>
      </c>
      <c r="O1156" s="251" t="str">
        <f t="shared" si="180"/>
        <v/>
      </c>
      <c r="P1156" s="251" t="str">
        <f t="shared" si="181"/>
        <v/>
      </c>
      <c r="Q1156" s="251" t="str">
        <f t="shared" si="182"/>
        <v/>
      </c>
      <c r="R1156" s="251" t="str">
        <f t="shared" si="183"/>
        <v/>
      </c>
      <c r="S1156" s="252" t="str">
        <f t="shared" si="184"/>
        <v/>
      </c>
      <c r="T1156" s="253"/>
      <c r="U1156" s="254">
        <v>0.45300000000000001</v>
      </c>
      <c r="V1156" s="254">
        <v>0.45300000000000001</v>
      </c>
      <c r="W1156" s="254">
        <v>0.45100000000000001</v>
      </c>
      <c r="X1156" s="254">
        <v>0.44400000000000001</v>
      </c>
      <c r="Y1156" s="254">
        <v>0.442</v>
      </c>
      <c r="Z1156" s="254">
        <v>0.44</v>
      </c>
    </row>
    <row r="1157" spans="13:26" x14ac:dyDescent="0.35">
      <c r="M1157" s="250">
        <v>25200</v>
      </c>
      <c r="N1157" s="251" t="str">
        <f>IF($R$11&gt;=M1156+0.01,U1157,"")</f>
        <v/>
      </c>
      <c r="O1157" s="251" t="str">
        <f>IF($R$11&gt;=M1156,V1157,"")</f>
        <v/>
      </c>
      <c r="P1157" s="251" t="str">
        <f>IF($R$11&gt;=M1156,W1157,"")</f>
        <v/>
      </c>
      <c r="Q1157" s="251" t="str">
        <f>IF($R$11&gt;=M1156,X1157,"")</f>
        <v/>
      </c>
      <c r="R1157" s="252" t="str">
        <f>IF($R$11&gt;=M1156,Y1157,"")</f>
        <v/>
      </c>
      <c r="S1157" s="251" t="str">
        <f>IF($R$11&gt;=M1156,Z1157,"")</f>
        <v/>
      </c>
      <c r="T1157" s="253"/>
      <c r="U1157" s="254">
        <v>0.45300000000000001</v>
      </c>
      <c r="V1157" s="254">
        <v>0.45300000000000001</v>
      </c>
      <c r="W1157" s="254">
        <v>0.45100000000000001</v>
      </c>
      <c r="X1157" s="254">
        <v>0.44400000000000001</v>
      </c>
      <c r="Y1157" s="254">
        <v>0.442</v>
      </c>
      <c r="Z1157" s="254">
        <v>0.44</v>
      </c>
    </row>
    <row r="1158" spans="13:26" x14ac:dyDescent="0.35">
      <c r="M1158" s="249"/>
      <c r="N1158" s="257" t="str">
        <f>IF($A$15=3,IF($A$2=9,IF($I$2=0,SUM(N1120:N1157),""),""),"")</f>
        <v/>
      </c>
      <c r="O1158" s="258" t="str">
        <f>IF($A$15=3,IF($A$2=9,IF($I$2=1,SUM(O1120:O1157),""),""),"")</f>
        <v/>
      </c>
      <c r="P1158" s="258" t="str">
        <f>IF($A$15=3,IF($A$2=9,IF($I$2=2,SUM(P1120:P1157),""),""),"")</f>
        <v/>
      </c>
      <c r="Q1158" s="258" t="str">
        <f>IF($A$15=3,IF($A$2=9,IF($I$2=3,SUM(Q1120:Q1157),""),""),"")</f>
        <v/>
      </c>
      <c r="R1158" s="258" t="str">
        <f>IF($A$15=3,IF($A$2=9,IF($I$2=4,SUM(R1120:R1157),""),""),"")</f>
        <v/>
      </c>
      <c r="S1158" s="259" t="str">
        <f>IF($A$15=3,IF($A$2=9,IF($I$2=5,SUM(S1120:S1157),""),""),"")</f>
        <v/>
      </c>
      <c r="T1158" s="260">
        <f>SUM(N1158:S1158)</f>
        <v>0</v>
      </c>
      <c r="U1158" s="253"/>
      <c r="V1158" s="253"/>
      <c r="W1158" s="253"/>
      <c r="X1158" s="253"/>
      <c r="Y1158" s="253"/>
      <c r="Z1158" s="253"/>
    </row>
    <row r="1159" spans="13:26" x14ac:dyDescent="0.35">
      <c r="M1159" s="249"/>
      <c r="N1159" s="249"/>
      <c r="O1159" s="249"/>
      <c r="P1159" s="261"/>
      <c r="Q1159" s="249"/>
      <c r="R1159" s="261"/>
      <c r="S1159" s="249"/>
      <c r="T1159" s="253"/>
      <c r="U1159" s="253"/>
      <c r="V1159" s="253"/>
      <c r="W1159" s="253"/>
      <c r="X1159" s="253"/>
      <c r="Y1159" s="253"/>
      <c r="Z1159" s="253"/>
    </row>
    <row r="1160" spans="13:26" x14ac:dyDescent="0.35">
      <c r="M1160" s="249"/>
      <c r="N1160" s="249"/>
      <c r="O1160" s="249"/>
      <c r="P1160" s="250"/>
      <c r="Q1160" s="249"/>
      <c r="R1160" s="249"/>
      <c r="S1160" s="249"/>
      <c r="T1160" s="253"/>
      <c r="U1160" s="253"/>
      <c r="V1160" s="253"/>
      <c r="W1160" s="253"/>
      <c r="X1160" s="253"/>
      <c r="Y1160" s="253"/>
      <c r="Z1160" s="253"/>
    </row>
    <row r="1161" spans="13:26" x14ac:dyDescent="0.35">
      <c r="M1161" s="249"/>
      <c r="N1161" s="249"/>
      <c r="O1161" s="249"/>
      <c r="P1161" s="249"/>
      <c r="Q1161" s="249"/>
      <c r="R1161" s="249"/>
      <c r="S1161" s="249"/>
      <c r="T1161" s="253"/>
      <c r="U1161" s="253"/>
      <c r="V1161" s="253"/>
      <c r="W1161" s="253"/>
      <c r="X1161" s="253"/>
      <c r="Y1161" s="253"/>
      <c r="Z1161" s="253"/>
    </row>
    <row r="1162" spans="13:26" x14ac:dyDescent="0.35">
      <c r="M1162" s="263" t="s">
        <v>214</v>
      </c>
      <c r="N1162" s="284"/>
      <c r="O1162" s="284" t="s">
        <v>185</v>
      </c>
      <c r="P1162" s="284"/>
      <c r="Q1162" s="284"/>
      <c r="R1162" s="284"/>
      <c r="S1162" s="285"/>
      <c r="T1162" s="286"/>
      <c r="U1162" s="286" t="str">
        <f>O1162</f>
        <v>Tabelas de IRS de retenção na fonte referente a 2018 na Madeira</v>
      </c>
      <c r="V1162" s="286"/>
      <c r="W1162" s="286"/>
      <c r="X1162" s="286"/>
      <c r="Y1162" s="286"/>
      <c r="Z1162" s="286"/>
    </row>
    <row r="1163" spans="13:26" x14ac:dyDescent="0.35">
      <c r="M1163" s="285"/>
      <c r="N1163" s="284"/>
      <c r="O1163" s="284" t="s">
        <v>207</v>
      </c>
      <c r="P1163" s="285"/>
      <c r="Q1163" s="284"/>
      <c r="R1163" s="284"/>
      <c r="S1163" s="285"/>
      <c r="T1163" s="286"/>
      <c r="U1163" s="286"/>
      <c r="V1163" s="286"/>
      <c r="W1163" s="286"/>
      <c r="X1163" s="286"/>
      <c r="Y1163" s="286"/>
      <c r="Z1163" s="286"/>
    </row>
    <row r="1164" spans="13:26" x14ac:dyDescent="0.35">
      <c r="M1164" s="284"/>
      <c r="N1164" s="284"/>
      <c r="O1164" s="284" t="s">
        <v>188</v>
      </c>
      <c r="P1164" s="285"/>
      <c r="Q1164" s="284"/>
      <c r="R1164" s="284"/>
      <c r="S1164" s="285"/>
      <c r="T1164" s="286"/>
      <c r="U1164" s="286" t="str">
        <f>O1164</f>
        <v>NÃO CASADO - DEFICIENTE</v>
      </c>
      <c r="V1164" s="286"/>
      <c r="W1164" s="286"/>
      <c r="X1164" s="286"/>
      <c r="Y1164" s="286"/>
      <c r="Z1164" s="286"/>
    </row>
    <row r="1165" spans="13:26" x14ac:dyDescent="0.35">
      <c r="M1165" s="267" t="s">
        <v>154</v>
      </c>
      <c r="N1165" s="268" t="s">
        <v>155</v>
      </c>
      <c r="O1165" s="268" t="s">
        <v>156</v>
      </c>
      <c r="P1165" s="268" t="s">
        <v>157</v>
      </c>
      <c r="Q1165" s="268" t="s">
        <v>158</v>
      </c>
      <c r="R1165" s="268" t="s">
        <v>159</v>
      </c>
      <c r="S1165" s="268" t="s">
        <v>160</v>
      </c>
      <c r="T1165" s="253"/>
      <c r="U1165" s="269" t="str">
        <f t="shared" ref="U1165:Z1165" si="185">N1165</f>
        <v>0 dep</v>
      </c>
      <c r="V1165" s="269" t="str">
        <f t="shared" si="185"/>
        <v>1 dep</v>
      </c>
      <c r="W1165" s="269" t="str">
        <f t="shared" si="185"/>
        <v>2 dep</v>
      </c>
      <c r="X1165" s="269" t="str">
        <f t="shared" si="185"/>
        <v>3 dep</v>
      </c>
      <c r="Y1165" s="269" t="str">
        <f t="shared" si="185"/>
        <v>4 dep</v>
      </c>
      <c r="Z1165" s="269" t="str">
        <f t="shared" si="185"/>
        <v>5 dep. ou +</v>
      </c>
    </row>
    <row r="1166" spans="13:26" x14ac:dyDescent="0.35">
      <c r="M1166" s="250">
        <v>1306</v>
      </c>
      <c r="N1166" s="251" t="str">
        <f>IF($R$11&lt;=M1166,IF($R$11&gt;=0,0,""),"")</f>
        <v/>
      </c>
      <c r="O1166" s="251" t="str">
        <f>IF($R$11&lt;=M1166,IF($R$11&gt;=0,0,""),"")</f>
        <v/>
      </c>
      <c r="P1166" s="251" t="str">
        <f>IF($R$11&lt;=M1166,IF($R$11&gt;=0,0,""),"")</f>
        <v/>
      </c>
      <c r="Q1166" s="251" t="str">
        <f>IF($R$11&lt;=M1166,IF($R$11&gt;=0,0,""),"")</f>
        <v/>
      </c>
      <c r="R1166" s="251" t="str">
        <f>IF($R$11&lt;=M1166,IF($R$11&gt;=0,0,""),"")</f>
        <v/>
      </c>
      <c r="S1166" s="251" t="str">
        <f>IF($R$11&lt;=M1166,IF($R$11&gt;=0,0,""),"")</f>
        <v/>
      </c>
      <c r="T1166" s="253"/>
      <c r="U1166" s="254">
        <v>0</v>
      </c>
      <c r="V1166" s="254">
        <v>0</v>
      </c>
      <c r="W1166" s="254">
        <v>0</v>
      </c>
      <c r="X1166" s="254">
        <v>0</v>
      </c>
      <c r="Y1166" s="254">
        <v>0</v>
      </c>
      <c r="Z1166" s="254">
        <v>0</v>
      </c>
    </row>
    <row r="1167" spans="13:26" x14ac:dyDescent="0.35">
      <c r="M1167" s="250">
        <v>1409</v>
      </c>
      <c r="N1167" s="251" t="str">
        <f>IF($R$11&lt;=M1167,IF($R$11&gt;=M1166+0.01,U1167,""),"")</f>
        <v/>
      </c>
      <c r="O1167" s="251" t="str">
        <f>IF($R$11&lt;=M1167,IF($R$11&gt;=M1166+0.01,V1167,""),"")</f>
        <v/>
      </c>
      <c r="P1167" s="251" t="str">
        <f>IF($R$11&lt;=M1167,IF($R$11&gt;=M1166+0.01,W1167,""),"")</f>
        <v/>
      </c>
      <c r="Q1167" s="251" t="str">
        <f>IF($R$11&lt;=M1167,IF($R$11&gt;=M1166+0.01,X1167,""),"")</f>
        <v/>
      </c>
      <c r="R1167" s="251" t="str">
        <f>IF($R$11&lt;=M1167,IF($R$11&gt;=M1166+0.01,Y1167,""),"")</f>
        <v/>
      </c>
      <c r="S1167" s="252" t="str">
        <f>IF($R$11&lt;=M1167,IF($R$11&gt;=M1166+0.01,Z1167,""),"")</f>
        <v/>
      </c>
      <c r="T1167" s="253"/>
      <c r="U1167" s="254">
        <v>1.4E-2</v>
      </c>
      <c r="V1167" s="254">
        <v>0</v>
      </c>
      <c r="W1167" s="254">
        <v>0</v>
      </c>
      <c r="X1167" s="254">
        <v>0</v>
      </c>
      <c r="Y1167" s="254">
        <v>0</v>
      </c>
      <c r="Z1167" s="254">
        <v>0</v>
      </c>
    </row>
    <row r="1168" spans="13:26" x14ac:dyDescent="0.35">
      <c r="M1168" s="250">
        <v>1450</v>
      </c>
      <c r="N1168" s="251" t="str">
        <f>IF($R$11&lt;=M1168,IF($R$11&gt;=M1167+0.01,U1168,""),"")</f>
        <v/>
      </c>
      <c r="O1168" s="251" t="str">
        <f>IF($R$11&lt;=M1168,IF($R$11&gt;=M1167+0.01,V1168,""),"")</f>
        <v/>
      </c>
      <c r="P1168" s="251" t="str">
        <f>IF($R$11&lt;=M1168,IF($R$11&gt;=M1167+0.01,W1168,""),"")</f>
        <v/>
      </c>
      <c r="Q1168" s="251" t="str">
        <f>IF($R$11&lt;=M1168,IF($R$11&gt;=M1167+0.01,X1168,""),"")</f>
        <v/>
      </c>
      <c r="R1168" s="251" t="str">
        <f>IF($R$11&lt;=M1168,IF($R$11&gt;=M1167+0.01,Y1168,""),"")</f>
        <v/>
      </c>
      <c r="S1168" s="252" t="str">
        <f>IF($R$11&lt;=M1168,IF($R$11&gt;=M1167+0.01,Z1168,""),"")</f>
        <v/>
      </c>
      <c r="T1168" s="253"/>
      <c r="U1168" s="254">
        <v>4.2000000000000003E-2</v>
      </c>
      <c r="V1168" s="254">
        <v>8.0000000000000002E-3</v>
      </c>
      <c r="W1168" s="254">
        <v>0</v>
      </c>
      <c r="X1168" s="254">
        <v>0</v>
      </c>
      <c r="Y1168" s="254">
        <v>0</v>
      </c>
      <c r="Z1168" s="254">
        <v>0</v>
      </c>
    </row>
    <row r="1169" spans="13:26" x14ac:dyDescent="0.35">
      <c r="M1169" s="250">
        <v>1634</v>
      </c>
      <c r="N1169" s="251">
        <f>IF($R$11&lt;=M1169,IF($R$11&gt;=M1168+0.01,U1169,""),"")</f>
        <v>5.0999999999999997E-2</v>
      </c>
      <c r="O1169" s="251">
        <f>IF($R$11&lt;=M1169,IF($R$11&gt;=M1168+0.01,V1169,""),"")</f>
        <v>2.7E-2</v>
      </c>
      <c r="P1169" s="251">
        <f>IF($R$11&lt;=M1169,IF($R$11&gt;=M1168+0.01,W1169,""),"")</f>
        <v>0</v>
      </c>
      <c r="Q1169" s="251">
        <f>IF($R$11&lt;=M1169,IF($R$11&gt;=M1168+0.01,X1169,""),"")</f>
        <v>0</v>
      </c>
      <c r="R1169" s="251">
        <f>IF($R$11&lt;=M1169,IF($R$11&gt;=M1168+0.01,Y1169,""),"")</f>
        <v>0</v>
      </c>
      <c r="S1169" s="252">
        <f>IF($R$11&lt;=M1169,IF($R$11&gt;=M1168+0.01,Z1169,""),"")</f>
        <v>0</v>
      </c>
      <c r="T1169" s="253"/>
      <c r="U1169" s="254">
        <v>5.0999999999999997E-2</v>
      </c>
      <c r="V1169" s="254">
        <v>2.7E-2</v>
      </c>
      <c r="W1169" s="254">
        <v>0</v>
      </c>
      <c r="X1169" s="254">
        <v>0</v>
      </c>
      <c r="Y1169" s="254">
        <v>0</v>
      </c>
      <c r="Z1169" s="254">
        <v>0</v>
      </c>
    </row>
    <row r="1170" spans="13:26" x14ac:dyDescent="0.35">
      <c r="M1170" s="250">
        <v>1950</v>
      </c>
      <c r="N1170" s="251" t="str">
        <f>IF($R$11&lt;=M1170,IF($R$11&gt;=M1169+0.01,U1170,""),"")</f>
        <v/>
      </c>
      <c r="O1170" s="251" t="str">
        <f>IF($R$11&lt;=M1170,IF($R$11&gt;=M1169+0.01,V1170,""),"")</f>
        <v/>
      </c>
      <c r="P1170" s="251" t="str">
        <f>IF($R$11&lt;=M1170,IF($R$11&gt;=M1169+0.01,W1170,""),"")</f>
        <v/>
      </c>
      <c r="Q1170" s="251" t="str">
        <f>IF($R$11&lt;=M1170,IF($R$11&gt;=M1169+0.01,X1170,""),"")</f>
        <v/>
      </c>
      <c r="R1170" s="251" t="str">
        <f>IF($R$11&lt;=M1170,IF($R$11&gt;=M1169+0.01,Y1170,""),"")</f>
        <v/>
      </c>
      <c r="S1170" s="252" t="str">
        <f>IF($R$11&lt;=M1170,IF($R$11&gt;=M1169+0.01,Z1170,""),"")</f>
        <v/>
      </c>
      <c r="T1170" s="253"/>
      <c r="U1170" s="254">
        <v>6.6000000000000003E-2</v>
      </c>
      <c r="V1170" s="254">
        <v>4.8000000000000001E-2</v>
      </c>
      <c r="W1170" s="254">
        <v>3.7999999999999999E-2</v>
      </c>
      <c r="X1170" s="254">
        <v>4.0000000000000001E-3</v>
      </c>
      <c r="Y1170" s="254">
        <v>0</v>
      </c>
      <c r="Z1170" s="254">
        <v>0</v>
      </c>
    </row>
    <row r="1171" spans="13:26" x14ac:dyDescent="0.35">
      <c r="M1171" s="250">
        <v>2072</v>
      </c>
      <c r="N1171" s="251" t="str">
        <f t="shared" ref="N1171:N1194" si="186">IF($R$11&lt;=M1171,IF($R$11&gt;=M1170+0.01,U1171,""),"")</f>
        <v/>
      </c>
      <c r="O1171" s="251" t="str">
        <f t="shared" ref="O1171:O1194" si="187">IF($R$11&lt;=M1171,IF($R$11&gt;=M1170+0.01,V1171,""),"")</f>
        <v/>
      </c>
      <c r="P1171" s="251" t="str">
        <f t="shared" ref="P1171:P1194" si="188">IF($R$11&lt;=M1171,IF($R$11&gt;=M1170+0.01,W1171,""),"")</f>
        <v/>
      </c>
      <c r="Q1171" s="251" t="str">
        <f t="shared" ref="Q1171:Q1194" si="189">IF($R$11&lt;=M1171,IF($R$11&gt;=M1170+0.01,X1171,""),"")</f>
        <v/>
      </c>
      <c r="R1171" s="251" t="str">
        <f t="shared" ref="R1171:R1194" si="190">IF($R$11&lt;=M1171,IF($R$11&gt;=M1170+0.01,Y1171,""),"")</f>
        <v/>
      </c>
      <c r="S1171" s="252" t="str">
        <f t="shared" ref="S1171:S1194" si="191">IF($R$11&lt;=M1171,IF($R$11&gt;=M1170+0.01,Z1171,""),"")</f>
        <v/>
      </c>
      <c r="T1171" s="253"/>
      <c r="U1171" s="254">
        <v>8.1000000000000003E-2</v>
      </c>
      <c r="V1171" s="254">
        <v>6.2E-2</v>
      </c>
      <c r="W1171" s="254">
        <v>5.2999999999999999E-2</v>
      </c>
      <c r="X1171" s="254">
        <v>2.3E-2</v>
      </c>
      <c r="Y1171" s="254">
        <v>1.4E-2</v>
      </c>
      <c r="Z1171" s="254">
        <v>0</v>
      </c>
    </row>
    <row r="1172" spans="13:26" x14ac:dyDescent="0.35">
      <c r="M1172" s="250">
        <v>2206</v>
      </c>
      <c r="N1172" s="251" t="str">
        <f t="shared" si="186"/>
        <v/>
      </c>
      <c r="O1172" s="251" t="str">
        <f t="shared" si="187"/>
        <v/>
      </c>
      <c r="P1172" s="251" t="str">
        <f t="shared" si="188"/>
        <v/>
      </c>
      <c r="Q1172" s="251" t="str">
        <f t="shared" si="189"/>
        <v/>
      </c>
      <c r="R1172" s="251" t="str">
        <f t="shared" si="190"/>
        <v/>
      </c>
      <c r="S1172" s="252" t="str">
        <f t="shared" si="191"/>
        <v/>
      </c>
      <c r="T1172" s="253"/>
      <c r="U1172" s="254">
        <v>0.1</v>
      </c>
      <c r="V1172" s="254">
        <v>7.1999999999999995E-2</v>
      </c>
      <c r="W1172" s="254">
        <v>6.2E-2</v>
      </c>
      <c r="X1172" s="254">
        <v>4.2999999999999997E-2</v>
      </c>
      <c r="Y1172" s="254">
        <v>2.3E-2</v>
      </c>
      <c r="Z1172" s="254">
        <v>1.4E-2</v>
      </c>
    </row>
    <row r="1173" spans="13:26" x14ac:dyDescent="0.35">
      <c r="M1173" s="250">
        <v>2307</v>
      </c>
      <c r="N1173" s="251" t="str">
        <f t="shared" si="186"/>
        <v/>
      </c>
      <c r="O1173" s="251" t="str">
        <f t="shared" si="187"/>
        <v/>
      </c>
      <c r="P1173" s="251" t="str">
        <f t="shared" si="188"/>
        <v/>
      </c>
      <c r="Q1173" s="251" t="str">
        <f t="shared" si="189"/>
        <v/>
      </c>
      <c r="R1173" s="251" t="str">
        <f t="shared" si="190"/>
        <v/>
      </c>
      <c r="S1173" s="252" t="str">
        <f t="shared" si="191"/>
        <v/>
      </c>
      <c r="T1173" s="253"/>
      <c r="U1173" s="254">
        <v>0.125</v>
      </c>
      <c r="V1173" s="254">
        <v>9.7000000000000003E-2</v>
      </c>
      <c r="W1173" s="254">
        <v>7.8E-2</v>
      </c>
      <c r="X1173" s="254">
        <v>5.8000000000000003E-2</v>
      </c>
      <c r="Y1173" s="254">
        <v>3.7999999999999999E-2</v>
      </c>
      <c r="Z1173" s="254">
        <v>2.9000000000000001E-2</v>
      </c>
    </row>
    <row r="1174" spans="13:26" x14ac:dyDescent="0.35">
      <c r="M1174" s="250">
        <v>2471</v>
      </c>
      <c r="N1174" s="251" t="str">
        <f t="shared" si="186"/>
        <v/>
      </c>
      <c r="O1174" s="251" t="str">
        <f t="shared" si="187"/>
        <v/>
      </c>
      <c r="P1174" s="251" t="str">
        <f t="shared" si="188"/>
        <v/>
      </c>
      <c r="Q1174" s="251" t="str">
        <f t="shared" si="189"/>
        <v/>
      </c>
      <c r="R1174" s="251" t="str">
        <f t="shared" si="190"/>
        <v/>
      </c>
      <c r="S1174" s="252" t="str">
        <f t="shared" si="191"/>
        <v/>
      </c>
      <c r="T1174" s="253"/>
      <c r="U1174" s="254">
        <v>0.14499999999999999</v>
      </c>
      <c r="V1174" s="254">
        <v>0.11600000000000001</v>
      </c>
      <c r="W1174" s="254">
        <v>9.8000000000000004E-2</v>
      </c>
      <c r="X1174" s="254">
        <v>7.8E-2</v>
      </c>
      <c r="Y1174" s="254">
        <v>5.8999999999999997E-2</v>
      </c>
      <c r="Z1174" s="254">
        <v>3.7999999999999999E-2</v>
      </c>
    </row>
    <row r="1175" spans="13:26" x14ac:dyDescent="0.35">
      <c r="M1175" s="250">
        <v>2553</v>
      </c>
      <c r="N1175" s="251" t="str">
        <f t="shared" si="186"/>
        <v/>
      </c>
      <c r="O1175" s="251" t="str">
        <f t="shared" si="187"/>
        <v/>
      </c>
      <c r="P1175" s="251" t="str">
        <f t="shared" si="188"/>
        <v/>
      </c>
      <c r="Q1175" s="251" t="str">
        <f t="shared" si="189"/>
        <v/>
      </c>
      <c r="R1175" s="251" t="str">
        <f t="shared" si="190"/>
        <v/>
      </c>
      <c r="S1175" s="252" t="str">
        <f t="shared" si="191"/>
        <v/>
      </c>
      <c r="T1175" s="253"/>
      <c r="U1175" s="254">
        <v>0.154</v>
      </c>
      <c r="V1175" s="254">
        <v>0.13600000000000001</v>
      </c>
      <c r="W1175" s="254">
        <v>0.11600000000000001</v>
      </c>
      <c r="X1175" s="254">
        <v>9.8000000000000004E-2</v>
      </c>
      <c r="Y1175" s="254">
        <v>6.8000000000000005E-2</v>
      </c>
      <c r="Z1175" s="254">
        <v>5.8999999999999997E-2</v>
      </c>
    </row>
    <row r="1176" spans="13:26" x14ac:dyDescent="0.35">
      <c r="M1176" s="250">
        <v>2655</v>
      </c>
      <c r="N1176" s="251" t="str">
        <f t="shared" si="186"/>
        <v/>
      </c>
      <c r="O1176" s="251" t="str">
        <f t="shared" si="187"/>
        <v/>
      </c>
      <c r="P1176" s="251" t="str">
        <f t="shared" si="188"/>
        <v/>
      </c>
      <c r="Q1176" s="251" t="str">
        <f t="shared" si="189"/>
        <v/>
      </c>
      <c r="R1176" s="251" t="str">
        <f t="shared" si="190"/>
        <v/>
      </c>
      <c r="S1176" s="252" t="str">
        <f t="shared" si="191"/>
        <v/>
      </c>
      <c r="T1176" s="253"/>
      <c r="U1176" s="254">
        <v>0.16500000000000001</v>
      </c>
      <c r="V1176" s="254">
        <v>0.14599999999999999</v>
      </c>
      <c r="W1176" s="254">
        <v>0.126</v>
      </c>
      <c r="X1176" s="254">
        <v>0.107</v>
      </c>
      <c r="Y1176" s="254">
        <v>8.7999999999999995E-2</v>
      </c>
      <c r="Z1176" s="254">
        <v>7.8E-2</v>
      </c>
    </row>
    <row r="1177" spans="13:26" x14ac:dyDescent="0.35">
      <c r="M1177" s="250">
        <v>2920</v>
      </c>
      <c r="N1177" s="251" t="str">
        <f t="shared" si="186"/>
        <v/>
      </c>
      <c r="O1177" s="251" t="str">
        <f t="shared" si="187"/>
        <v/>
      </c>
      <c r="P1177" s="251" t="str">
        <f t="shared" si="188"/>
        <v/>
      </c>
      <c r="Q1177" s="251" t="str">
        <f t="shared" si="189"/>
        <v/>
      </c>
      <c r="R1177" s="251" t="str">
        <f t="shared" si="190"/>
        <v/>
      </c>
      <c r="S1177" s="252" t="str">
        <f t="shared" si="191"/>
        <v/>
      </c>
      <c r="T1177" s="253"/>
      <c r="U1177" s="254">
        <v>0.17499999999999999</v>
      </c>
      <c r="V1177" s="254">
        <v>0.156</v>
      </c>
      <c r="W1177" s="254">
        <v>0.13600000000000001</v>
      </c>
      <c r="X1177" s="254">
        <v>0.11700000000000001</v>
      </c>
      <c r="Y1177" s="254">
        <v>0.107</v>
      </c>
      <c r="Z1177" s="254">
        <v>9.8000000000000004E-2</v>
      </c>
    </row>
    <row r="1178" spans="13:26" x14ac:dyDescent="0.35">
      <c r="M1178" s="250">
        <v>3237</v>
      </c>
      <c r="N1178" s="251" t="str">
        <f t="shared" si="186"/>
        <v/>
      </c>
      <c r="O1178" s="251" t="str">
        <f t="shared" si="187"/>
        <v/>
      </c>
      <c r="P1178" s="251" t="str">
        <f t="shared" si="188"/>
        <v/>
      </c>
      <c r="Q1178" s="251" t="str">
        <f t="shared" si="189"/>
        <v/>
      </c>
      <c r="R1178" s="251" t="str">
        <f t="shared" si="190"/>
        <v/>
      </c>
      <c r="S1178" s="252" t="str">
        <f t="shared" si="191"/>
        <v/>
      </c>
      <c r="T1178" s="253"/>
      <c r="U1178" s="254">
        <v>0.188</v>
      </c>
      <c r="V1178" s="254">
        <v>0.17299999999999999</v>
      </c>
      <c r="W1178" s="254">
        <v>0.157</v>
      </c>
      <c r="X1178" s="254">
        <v>0.14099999999999999</v>
      </c>
      <c r="Y1178" s="254">
        <v>0.13500000000000001</v>
      </c>
      <c r="Z1178" s="254">
        <v>0.129</v>
      </c>
    </row>
    <row r="1179" spans="13:26" x14ac:dyDescent="0.35">
      <c r="M1179" s="250">
        <v>3574</v>
      </c>
      <c r="N1179" s="251" t="str">
        <f t="shared" si="186"/>
        <v/>
      </c>
      <c r="O1179" s="251" t="str">
        <f t="shared" si="187"/>
        <v/>
      </c>
      <c r="P1179" s="251" t="str">
        <f t="shared" si="188"/>
        <v/>
      </c>
      <c r="Q1179" s="251" t="str">
        <f t="shared" si="189"/>
        <v/>
      </c>
      <c r="R1179" s="251" t="str">
        <f t="shared" si="190"/>
        <v/>
      </c>
      <c r="S1179" s="252" t="str">
        <f t="shared" si="191"/>
        <v/>
      </c>
      <c r="T1179" s="253"/>
      <c r="U1179" s="254">
        <v>0.19900000000000001</v>
      </c>
      <c r="V1179" s="254">
        <v>0.184</v>
      </c>
      <c r="W1179" s="254">
        <v>0.16800000000000001</v>
      </c>
      <c r="X1179" s="254">
        <v>0.152</v>
      </c>
      <c r="Y1179" s="254">
        <v>0.14599999999999999</v>
      </c>
      <c r="Z1179" s="254">
        <v>0.14000000000000001</v>
      </c>
    </row>
    <row r="1180" spans="13:26" x14ac:dyDescent="0.35">
      <c r="M1180" s="250">
        <v>3706</v>
      </c>
      <c r="N1180" s="251" t="str">
        <f t="shared" si="186"/>
        <v/>
      </c>
      <c r="O1180" s="251" t="str">
        <f t="shared" si="187"/>
        <v/>
      </c>
      <c r="P1180" s="251" t="str">
        <f t="shared" si="188"/>
        <v/>
      </c>
      <c r="Q1180" s="251" t="str">
        <f t="shared" si="189"/>
        <v/>
      </c>
      <c r="R1180" s="251" t="str">
        <f t="shared" si="190"/>
        <v/>
      </c>
      <c r="S1180" s="252" t="str">
        <f t="shared" si="191"/>
        <v/>
      </c>
      <c r="T1180" s="253"/>
      <c r="U1180" s="254">
        <v>0.20899999999999999</v>
      </c>
      <c r="V1180" s="254">
        <v>0.19600000000000001</v>
      </c>
      <c r="W1180" s="254">
        <v>0.188</v>
      </c>
      <c r="X1180" s="254">
        <v>0.16200000000000001</v>
      </c>
      <c r="Y1180" s="254">
        <v>0.156</v>
      </c>
      <c r="Z1180" s="254">
        <v>0.15</v>
      </c>
    </row>
    <row r="1181" spans="13:26" x14ac:dyDescent="0.35">
      <c r="M1181" s="250">
        <v>3921</v>
      </c>
      <c r="N1181" s="251" t="str">
        <f t="shared" si="186"/>
        <v/>
      </c>
      <c r="O1181" s="251" t="str">
        <f t="shared" si="187"/>
        <v/>
      </c>
      <c r="P1181" s="251" t="str">
        <f t="shared" si="188"/>
        <v/>
      </c>
      <c r="Q1181" s="251" t="str">
        <f t="shared" si="189"/>
        <v/>
      </c>
      <c r="R1181" s="251" t="str">
        <f t="shared" si="190"/>
        <v/>
      </c>
      <c r="S1181" s="252" t="str">
        <f t="shared" si="191"/>
        <v/>
      </c>
      <c r="T1181" s="253"/>
      <c r="U1181" s="254">
        <v>0.219</v>
      </c>
      <c r="V1181" s="254">
        <v>0.20599999999999999</v>
      </c>
      <c r="W1181" s="254">
        <v>0.2</v>
      </c>
      <c r="X1181" s="254">
        <v>0.17199999999999999</v>
      </c>
      <c r="Y1181" s="254">
        <v>0.16600000000000001</v>
      </c>
      <c r="Z1181" s="254">
        <v>0.16</v>
      </c>
    </row>
    <row r="1182" spans="13:26" x14ac:dyDescent="0.35">
      <c r="M1182" s="250">
        <v>4339</v>
      </c>
      <c r="N1182" s="251" t="str">
        <f t="shared" si="186"/>
        <v/>
      </c>
      <c r="O1182" s="251" t="str">
        <f t="shared" si="187"/>
        <v/>
      </c>
      <c r="P1182" s="251" t="str">
        <f t="shared" si="188"/>
        <v/>
      </c>
      <c r="Q1182" s="251" t="str">
        <f t="shared" si="189"/>
        <v/>
      </c>
      <c r="R1182" s="251" t="str">
        <f t="shared" si="190"/>
        <v/>
      </c>
      <c r="S1182" s="252" t="str">
        <f t="shared" si="191"/>
        <v/>
      </c>
      <c r="T1182" s="253"/>
      <c r="U1182" s="254">
        <v>0.23899999999999999</v>
      </c>
      <c r="V1182" s="254">
        <v>0.22500000000000001</v>
      </c>
      <c r="W1182" s="254">
        <v>0.219</v>
      </c>
      <c r="X1182" s="254">
        <v>0.19400000000000001</v>
      </c>
      <c r="Y1182" s="254">
        <v>0.186</v>
      </c>
      <c r="Z1182" s="254">
        <v>0.18</v>
      </c>
    </row>
    <row r="1183" spans="13:26" x14ac:dyDescent="0.35">
      <c r="M1183" s="250">
        <v>4606</v>
      </c>
      <c r="N1183" s="251" t="str">
        <f t="shared" si="186"/>
        <v/>
      </c>
      <c r="O1183" s="251" t="str">
        <f t="shared" si="187"/>
        <v/>
      </c>
      <c r="P1183" s="251" t="str">
        <f t="shared" si="188"/>
        <v/>
      </c>
      <c r="Q1183" s="251" t="str">
        <f t="shared" si="189"/>
        <v/>
      </c>
      <c r="R1183" s="251" t="str">
        <f t="shared" si="190"/>
        <v/>
      </c>
      <c r="S1183" s="252" t="str">
        <f t="shared" si="191"/>
        <v/>
      </c>
      <c r="T1183" s="253"/>
      <c r="U1183" s="254">
        <v>0.249</v>
      </c>
      <c r="V1183" s="254">
        <v>0.23499999999999999</v>
      </c>
      <c r="W1183" s="254">
        <v>0.22900000000000001</v>
      </c>
      <c r="X1183" s="254">
        <v>0.20399999999999999</v>
      </c>
      <c r="Y1183" s="254">
        <v>0.19800000000000001</v>
      </c>
      <c r="Z1183" s="254">
        <v>0.19</v>
      </c>
    </row>
    <row r="1184" spans="13:26" x14ac:dyDescent="0.35">
      <c r="M1184" s="250">
        <v>4901</v>
      </c>
      <c r="N1184" s="251" t="str">
        <f t="shared" si="186"/>
        <v/>
      </c>
      <c r="O1184" s="251" t="str">
        <f t="shared" si="187"/>
        <v/>
      </c>
      <c r="P1184" s="251" t="str">
        <f t="shared" si="188"/>
        <v/>
      </c>
      <c r="Q1184" s="251" t="str">
        <f t="shared" si="189"/>
        <v/>
      </c>
      <c r="R1184" s="251" t="str">
        <f t="shared" si="190"/>
        <v/>
      </c>
      <c r="S1184" s="252" t="str">
        <f t="shared" si="191"/>
        <v/>
      </c>
      <c r="T1184" s="253"/>
      <c r="U1184" s="254">
        <v>0.25900000000000001</v>
      </c>
      <c r="V1184" s="254">
        <v>0.245</v>
      </c>
      <c r="W1184" s="254">
        <v>0.23899999999999999</v>
      </c>
      <c r="X1184" s="254">
        <v>0.21299999999999999</v>
      </c>
      <c r="Y1184" s="254">
        <v>0.20699999999999999</v>
      </c>
      <c r="Z1184" s="254">
        <v>0.20200000000000001</v>
      </c>
    </row>
    <row r="1185" spans="13:26" x14ac:dyDescent="0.35">
      <c r="M1185" s="250">
        <v>5188</v>
      </c>
      <c r="N1185" s="251" t="str">
        <f t="shared" si="186"/>
        <v/>
      </c>
      <c r="O1185" s="251" t="str">
        <f t="shared" si="187"/>
        <v/>
      </c>
      <c r="P1185" s="251" t="str">
        <f t="shared" si="188"/>
        <v/>
      </c>
      <c r="Q1185" s="251" t="str">
        <f t="shared" si="189"/>
        <v/>
      </c>
      <c r="R1185" s="251" t="str">
        <f t="shared" si="190"/>
        <v/>
      </c>
      <c r="S1185" s="252" t="str">
        <f t="shared" si="191"/>
        <v/>
      </c>
      <c r="T1185" s="253"/>
      <c r="U1185" s="254">
        <v>0.26900000000000002</v>
      </c>
      <c r="V1185" s="254">
        <v>0.255</v>
      </c>
      <c r="W1185" s="254">
        <v>0.249</v>
      </c>
      <c r="X1185" s="254">
        <v>0.223</v>
      </c>
      <c r="Y1185" s="254">
        <v>0.217</v>
      </c>
      <c r="Z1185" s="254">
        <v>0.21099999999999999</v>
      </c>
    </row>
    <row r="1186" spans="13:26" x14ac:dyDescent="0.35">
      <c r="M1186" s="250">
        <v>5617</v>
      </c>
      <c r="N1186" s="251" t="str">
        <f t="shared" si="186"/>
        <v/>
      </c>
      <c r="O1186" s="251" t="str">
        <f t="shared" si="187"/>
        <v/>
      </c>
      <c r="P1186" s="251" t="str">
        <f t="shared" si="188"/>
        <v/>
      </c>
      <c r="Q1186" s="251" t="str">
        <f t="shared" si="189"/>
        <v/>
      </c>
      <c r="R1186" s="251" t="str">
        <f t="shared" si="190"/>
        <v/>
      </c>
      <c r="S1186" s="252" t="str">
        <f t="shared" si="191"/>
        <v/>
      </c>
      <c r="T1186" s="253"/>
      <c r="U1186" s="254">
        <v>0.27900000000000003</v>
      </c>
      <c r="V1186" s="254">
        <v>0.26500000000000001</v>
      </c>
      <c r="W1186" s="254">
        <v>0.25900000000000001</v>
      </c>
      <c r="X1186" s="254">
        <v>0.24299999999999999</v>
      </c>
      <c r="Y1186" s="254">
        <v>0.22700000000000001</v>
      </c>
      <c r="Z1186" s="254">
        <v>0.221</v>
      </c>
    </row>
    <row r="1187" spans="13:26" x14ac:dyDescent="0.35">
      <c r="M1187" s="250">
        <v>6045</v>
      </c>
      <c r="N1187" s="251" t="str">
        <f t="shared" si="186"/>
        <v/>
      </c>
      <c r="O1187" s="251" t="str">
        <f t="shared" si="187"/>
        <v/>
      </c>
      <c r="P1187" s="251" t="str">
        <f t="shared" si="188"/>
        <v/>
      </c>
      <c r="Q1187" s="251" t="str">
        <f t="shared" si="189"/>
        <v/>
      </c>
      <c r="R1187" s="251" t="str">
        <f t="shared" si="190"/>
        <v/>
      </c>
      <c r="S1187" s="252" t="str">
        <f t="shared" si="191"/>
        <v/>
      </c>
      <c r="T1187" s="253"/>
      <c r="U1187" s="254">
        <v>0.29399999999999998</v>
      </c>
      <c r="V1187" s="254">
        <v>0.28000000000000003</v>
      </c>
      <c r="W1187" s="254">
        <v>0.27400000000000002</v>
      </c>
      <c r="X1187" s="254">
        <v>0.25800000000000001</v>
      </c>
      <c r="Y1187" s="254">
        <v>0.24199999999999999</v>
      </c>
      <c r="Z1187" s="254">
        <v>0.23599999999999999</v>
      </c>
    </row>
    <row r="1188" spans="13:26" x14ac:dyDescent="0.35">
      <c r="M1188" s="250">
        <v>6747</v>
      </c>
      <c r="N1188" s="251" t="str">
        <f t="shared" si="186"/>
        <v/>
      </c>
      <c r="O1188" s="251" t="str">
        <f t="shared" si="187"/>
        <v/>
      </c>
      <c r="P1188" s="251" t="str">
        <f t="shared" si="188"/>
        <v/>
      </c>
      <c r="Q1188" s="251" t="str">
        <f t="shared" si="189"/>
        <v/>
      </c>
      <c r="R1188" s="251" t="str">
        <f t="shared" si="190"/>
        <v/>
      </c>
      <c r="S1188" s="252" t="str">
        <f t="shared" si="191"/>
        <v/>
      </c>
      <c r="T1188" s="253"/>
      <c r="U1188" s="254">
        <v>0.30499999999999999</v>
      </c>
      <c r="V1188" s="254">
        <v>0.29399999999999998</v>
      </c>
      <c r="W1188" s="254">
        <v>0.28999999999999998</v>
      </c>
      <c r="X1188" s="254">
        <v>0.27600000000000002</v>
      </c>
      <c r="Y1188" s="254">
        <v>0.26200000000000001</v>
      </c>
      <c r="Z1188" s="254">
        <v>0.25800000000000001</v>
      </c>
    </row>
    <row r="1189" spans="13:26" x14ac:dyDescent="0.35">
      <c r="M1189" s="250">
        <v>7214</v>
      </c>
      <c r="N1189" s="251" t="str">
        <f t="shared" si="186"/>
        <v/>
      </c>
      <c r="O1189" s="251" t="str">
        <f t="shared" si="187"/>
        <v/>
      </c>
      <c r="P1189" s="251" t="str">
        <f t="shared" si="188"/>
        <v/>
      </c>
      <c r="Q1189" s="251" t="str">
        <f t="shared" si="189"/>
        <v/>
      </c>
      <c r="R1189" s="251" t="str">
        <f t="shared" si="190"/>
        <v/>
      </c>
      <c r="S1189" s="252" t="str">
        <f t="shared" si="191"/>
        <v/>
      </c>
      <c r="T1189" s="253"/>
      <c r="U1189" s="254">
        <v>0.315</v>
      </c>
      <c r="V1189" s="254">
        <v>0.30599999999999999</v>
      </c>
      <c r="W1189" s="254">
        <v>0.3</v>
      </c>
      <c r="X1189" s="254">
        <v>0.28599999999999998</v>
      </c>
      <c r="Y1189" s="254">
        <v>0.27200000000000002</v>
      </c>
      <c r="Z1189" s="254">
        <v>0.26800000000000002</v>
      </c>
    </row>
    <row r="1190" spans="13:26" x14ac:dyDescent="0.35">
      <c r="M1190" s="250">
        <v>7793</v>
      </c>
      <c r="N1190" s="251" t="str">
        <f t="shared" si="186"/>
        <v/>
      </c>
      <c r="O1190" s="251" t="str">
        <f t="shared" si="187"/>
        <v/>
      </c>
      <c r="P1190" s="251" t="str">
        <f t="shared" si="188"/>
        <v/>
      </c>
      <c r="Q1190" s="251" t="str">
        <f t="shared" si="189"/>
        <v/>
      </c>
      <c r="R1190" s="251" t="str">
        <f t="shared" si="190"/>
        <v/>
      </c>
      <c r="S1190" s="252" t="str">
        <f t="shared" si="191"/>
        <v/>
      </c>
      <c r="T1190" s="253"/>
      <c r="U1190" s="254">
        <v>0.32500000000000001</v>
      </c>
      <c r="V1190" s="254">
        <v>0.316</v>
      </c>
      <c r="W1190" s="254">
        <v>0.312</v>
      </c>
      <c r="X1190" s="254">
        <v>0.29599999999999999</v>
      </c>
      <c r="Y1190" s="254">
        <v>0.29199999999999998</v>
      </c>
      <c r="Z1190" s="254">
        <v>0.27800000000000002</v>
      </c>
    </row>
    <row r="1191" spans="13:26" x14ac:dyDescent="0.35">
      <c r="M1191" s="250">
        <v>8474</v>
      </c>
      <c r="N1191" s="251" t="str">
        <f t="shared" si="186"/>
        <v/>
      </c>
      <c r="O1191" s="251" t="str">
        <f t="shared" si="187"/>
        <v/>
      </c>
      <c r="P1191" s="251" t="str">
        <f t="shared" si="188"/>
        <v/>
      </c>
      <c r="Q1191" s="251" t="str">
        <f t="shared" si="189"/>
        <v/>
      </c>
      <c r="R1191" s="251" t="str">
        <f t="shared" si="190"/>
        <v/>
      </c>
      <c r="S1191" s="252" t="str">
        <f t="shared" si="191"/>
        <v/>
      </c>
      <c r="T1191" s="253"/>
      <c r="U1191" s="254">
        <v>0.33500000000000002</v>
      </c>
      <c r="V1191" s="254">
        <v>0.32600000000000001</v>
      </c>
      <c r="W1191" s="254">
        <v>0.32200000000000001</v>
      </c>
      <c r="X1191" s="254">
        <v>0.308</v>
      </c>
      <c r="Y1191" s="254">
        <v>0.29699999999999999</v>
      </c>
      <c r="Z1191" s="254">
        <v>0.28799999999999998</v>
      </c>
    </row>
    <row r="1192" spans="13:26" x14ac:dyDescent="0.35">
      <c r="M1192" s="250">
        <v>9256</v>
      </c>
      <c r="N1192" s="251" t="str">
        <f t="shared" si="186"/>
        <v/>
      </c>
      <c r="O1192" s="251" t="str">
        <f t="shared" si="187"/>
        <v/>
      </c>
      <c r="P1192" s="251" t="str">
        <f t="shared" si="188"/>
        <v/>
      </c>
      <c r="Q1192" s="251" t="str">
        <f t="shared" si="189"/>
        <v/>
      </c>
      <c r="R1192" s="251" t="str">
        <f t="shared" si="190"/>
        <v/>
      </c>
      <c r="S1192" s="252" t="str">
        <f t="shared" si="191"/>
        <v/>
      </c>
      <c r="T1192" s="253"/>
      <c r="U1192" s="254">
        <v>0.34499999999999997</v>
      </c>
      <c r="V1192" s="254">
        <v>0.33600000000000002</v>
      </c>
      <c r="W1192" s="254">
        <v>0.33200000000000002</v>
      </c>
      <c r="X1192" s="254">
        <v>0.318</v>
      </c>
      <c r="Y1192" s="254">
        <v>0.30399999999999999</v>
      </c>
      <c r="Z1192" s="254">
        <v>0.29799999999999999</v>
      </c>
    </row>
    <row r="1193" spans="13:26" x14ac:dyDescent="0.35">
      <c r="M1193" s="250">
        <v>9988</v>
      </c>
      <c r="N1193" s="251" t="str">
        <f t="shared" si="186"/>
        <v/>
      </c>
      <c r="O1193" s="251" t="str">
        <f t="shared" si="187"/>
        <v/>
      </c>
      <c r="P1193" s="251" t="str">
        <f t="shared" si="188"/>
        <v/>
      </c>
      <c r="Q1193" s="251" t="str">
        <f t="shared" si="189"/>
        <v/>
      </c>
      <c r="R1193" s="251" t="str">
        <f t="shared" si="190"/>
        <v/>
      </c>
      <c r="S1193" s="252" t="str">
        <f t="shared" si="191"/>
        <v/>
      </c>
      <c r="T1193" s="253"/>
      <c r="U1193" s="254">
        <v>0.36</v>
      </c>
      <c r="V1193" s="254">
        <v>0.35099999999999998</v>
      </c>
      <c r="W1193" s="254">
        <v>0.34699999999999998</v>
      </c>
      <c r="X1193" s="254">
        <v>0.33300000000000002</v>
      </c>
      <c r="Y1193" s="254">
        <v>0.32900000000000001</v>
      </c>
      <c r="Z1193" s="254">
        <v>0.315</v>
      </c>
    </row>
    <row r="1194" spans="13:26" x14ac:dyDescent="0.35">
      <c r="M1194" s="250">
        <v>12497</v>
      </c>
      <c r="N1194" s="251" t="str">
        <f t="shared" si="186"/>
        <v/>
      </c>
      <c r="O1194" s="251" t="str">
        <f t="shared" si="187"/>
        <v/>
      </c>
      <c r="P1194" s="251" t="str">
        <f t="shared" si="188"/>
        <v/>
      </c>
      <c r="Q1194" s="251" t="str">
        <f t="shared" si="189"/>
        <v/>
      </c>
      <c r="R1194" s="251" t="str">
        <f t="shared" si="190"/>
        <v/>
      </c>
      <c r="S1194" s="252" t="str">
        <f t="shared" si="191"/>
        <v/>
      </c>
      <c r="T1194" s="253"/>
      <c r="U1194" s="254">
        <v>0.37</v>
      </c>
      <c r="V1194" s="254">
        <v>0.36099999999999999</v>
      </c>
      <c r="W1194" s="254">
        <v>0.35699999999999998</v>
      </c>
      <c r="X1194" s="254">
        <v>0.34300000000000003</v>
      </c>
      <c r="Y1194" s="254">
        <v>0.33900000000000002</v>
      </c>
      <c r="Z1194" s="254">
        <v>0.32500000000000001</v>
      </c>
    </row>
    <row r="1195" spans="13:26" x14ac:dyDescent="0.35">
      <c r="M1195" s="250">
        <v>12497</v>
      </c>
      <c r="N1195" s="251" t="str">
        <f>IF($R$11&gt;=M1194+0.01,U1195,"")</f>
        <v/>
      </c>
      <c r="O1195" s="251" t="str">
        <f>IF($R$11&gt;=M1194,V1195,"")</f>
        <v/>
      </c>
      <c r="P1195" s="251" t="str">
        <f>IF($R$11&gt;=M1194,W1195,"")</f>
        <v/>
      </c>
      <c r="Q1195" s="251" t="str">
        <f>IF($R$11&gt;=M1194,X1195,"")</f>
        <v/>
      </c>
      <c r="R1195" s="252" t="str">
        <f>IF($R$11&gt;=M1194,Y1195,"")</f>
        <v/>
      </c>
      <c r="S1195" s="251" t="str">
        <f>IF($R$11&gt;=M1194,Z1195,"")</f>
        <v/>
      </c>
      <c r="T1195" s="253"/>
      <c r="U1195" s="254">
        <v>0.38</v>
      </c>
      <c r="V1195" s="254">
        <v>0.371</v>
      </c>
      <c r="W1195" s="254">
        <v>0.36699999999999999</v>
      </c>
      <c r="X1195" s="254">
        <v>0.35299999999999998</v>
      </c>
      <c r="Y1195" s="254">
        <v>0.34899999999999998</v>
      </c>
      <c r="Z1195" s="254">
        <v>0.33500000000000002</v>
      </c>
    </row>
    <row r="1196" spans="13:26" x14ac:dyDescent="0.35">
      <c r="M1196" s="249"/>
      <c r="N1196" s="280" t="str">
        <f>IF($A$15=3,IF($A$2=10,IF($I$2=0,SUM(N1166:N1195),""),""),"")</f>
        <v/>
      </c>
      <c r="O1196" s="281" t="str">
        <f>IF($A$15=3,IF($A$2=10,IF($I$2=1,SUM(O1166:O1195),""),""),"")</f>
        <v/>
      </c>
      <c r="P1196" s="281" t="str">
        <f>IF($A$15=3,IF($A$2=10,IF($I$2=2,SUM(P1166:P1195),""),""),"")</f>
        <v/>
      </c>
      <c r="Q1196" s="281" t="str">
        <f>IF($A$15=3,IF($A$2=10,IF($I$2=3,SUM(Q1166:Q1195),""),""),"")</f>
        <v/>
      </c>
      <c r="R1196" s="281" t="str">
        <f>IF($A$15=3,IF($A$2=10,IF($I$2=4,SUM(R1166:R1195),""),""),"")</f>
        <v/>
      </c>
      <c r="S1196" s="282" t="str">
        <f>IF($A$15=3,IF($A$2=10,IF($I$2=5,SUM(S1166:S1195),""),""),"")</f>
        <v/>
      </c>
      <c r="T1196" s="260">
        <f>SUM(N1196:S1196)</f>
        <v>0</v>
      </c>
      <c r="U1196" s="254"/>
      <c r="V1196" s="254"/>
      <c r="W1196" s="254"/>
      <c r="X1196" s="254"/>
      <c r="Y1196" s="254"/>
      <c r="Z1196" s="254"/>
    </row>
    <row r="1197" spans="13:26" x14ac:dyDescent="0.35">
      <c r="M1197" s="249"/>
      <c r="N1197" s="249"/>
      <c r="O1197" s="249"/>
      <c r="P1197" s="249"/>
      <c r="Q1197" s="249"/>
      <c r="R1197" s="249"/>
      <c r="S1197" s="249"/>
      <c r="T1197" s="253"/>
      <c r="U1197" s="253"/>
      <c r="V1197" s="253"/>
      <c r="W1197" s="253"/>
      <c r="X1197" s="253"/>
      <c r="Y1197" s="253"/>
      <c r="Z1197" s="253"/>
    </row>
    <row r="1198" spans="13:26" x14ac:dyDescent="0.35">
      <c r="M1198" s="249"/>
      <c r="N1198" s="249"/>
      <c r="O1198" s="249"/>
      <c r="P1198" s="249"/>
      <c r="Q1198" s="249"/>
      <c r="R1198" s="249"/>
      <c r="S1198" s="249"/>
      <c r="T1198" s="253"/>
      <c r="U1198" s="253"/>
      <c r="V1198" s="253"/>
      <c r="W1198" s="253"/>
      <c r="X1198" s="253"/>
      <c r="Y1198" s="253"/>
      <c r="Z1198" s="253"/>
    </row>
    <row r="1199" spans="13:26" x14ac:dyDescent="0.35">
      <c r="M1199" s="249"/>
      <c r="N1199" s="249"/>
      <c r="O1199" s="249"/>
      <c r="P1199" s="249"/>
      <c r="Q1199" s="249"/>
      <c r="R1199" s="249"/>
      <c r="S1199" s="249"/>
      <c r="T1199" s="253"/>
      <c r="U1199" s="253"/>
      <c r="V1199" s="253"/>
      <c r="W1199" s="253"/>
      <c r="X1199" s="253"/>
      <c r="Y1199" s="253"/>
      <c r="Z1199" s="253"/>
    </row>
    <row r="1200" spans="13:26" x14ac:dyDescent="0.35">
      <c r="M1200" s="263" t="s">
        <v>214</v>
      </c>
      <c r="N1200" s="284"/>
      <c r="O1200" s="284" t="s">
        <v>185</v>
      </c>
      <c r="P1200" s="284"/>
      <c r="Q1200" s="284"/>
      <c r="R1200" s="284"/>
      <c r="S1200" s="285"/>
      <c r="T1200" s="286"/>
      <c r="U1200" s="286" t="str">
        <f>O1200</f>
        <v>Tabelas de IRS de retenção na fonte referente a 2018 na Madeira</v>
      </c>
      <c r="V1200" s="286"/>
      <c r="W1200" s="286"/>
      <c r="X1200" s="286"/>
      <c r="Y1200" s="286"/>
      <c r="Z1200" s="286"/>
    </row>
    <row r="1201" spans="13:26" x14ac:dyDescent="0.35">
      <c r="M1201" s="285"/>
      <c r="N1201" s="284"/>
      <c r="O1201" s="284" t="s">
        <v>208</v>
      </c>
      <c r="P1201" s="285"/>
      <c r="Q1201" s="284"/>
      <c r="R1201" s="284"/>
      <c r="S1201" s="285"/>
      <c r="T1201" s="286"/>
      <c r="U1201" s="286"/>
      <c r="V1201" s="286"/>
      <c r="W1201" s="286"/>
      <c r="X1201" s="286"/>
      <c r="Y1201" s="286"/>
      <c r="Z1201" s="286"/>
    </row>
    <row r="1202" spans="13:26" x14ac:dyDescent="0.35">
      <c r="M1202" s="284"/>
      <c r="N1202" s="284"/>
      <c r="O1202" s="284" t="s">
        <v>190</v>
      </c>
      <c r="P1202" s="285"/>
      <c r="Q1202" s="284"/>
      <c r="R1202" s="284"/>
      <c r="S1202" s="285"/>
      <c r="T1202" s="286"/>
      <c r="U1202" s="286" t="str">
        <f>O1202</f>
        <v>CASADO UNICO TITULAR - DEFICIENTE</v>
      </c>
      <c r="V1202" s="286"/>
      <c r="W1202" s="286"/>
      <c r="X1202" s="286"/>
      <c r="Y1202" s="286"/>
      <c r="Z1202" s="286"/>
    </row>
    <row r="1203" spans="13:26" x14ac:dyDescent="0.35">
      <c r="M1203" s="267" t="s">
        <v>154</v>
      </c>
      <c r="N1203" s="268" t="s">
        <v>155</v>
      </c>
      <c r="O1203" s="268" t="s">
        <v>156</v>
      </c>
      <c r="P1203" s="268" t="s">
        <v>157</v>
      </c>
      <c r="Q1203" s="268" t="s">
        <v>158</v>
      </c>
      <c r="R1203" s="268" t="s">
        <v>159</v>
      </c>
      <c r="S1203" s="268" t="s">
        <v>160</v>
      </c>
      <c r="T1203" s="253"/>
      <c r="U1203" s="269" t="str">
        <f t="shared" ref="U1203:Z1203" si="192">N1203</f>
        <v>0 dep</v>
      </c>
      <c r="V1203" s="269" t="str">
        <f t="shared" si="192"/>
        <v>1 dep</v>
      </c>
      <c r="W1203" s="269" t="str">
        <f t="shared" si="192"/>
        <v>2 dep</v>
      </c>
      <c r="X1203" s="269" t="str">
        <f t="shared" si="192"/>
        <v>3 dep</v>
      </c>
      <c r="Y1203" s="269" t="str">
        <f t="shared" si="192"/>
        <v>4 dep</v>
      </c>
      <c r="Z1203" s="269" t="str">
        <f t="shared" si="192"/>
        <v>5 dep. ou +</v>
      </c>
    </row>
    <row r="1204" spans="13:26" x14ac:dyDescent="0.35">
      <c r="M1204" s="250">
        <v>1645</v>
      </c>
      <c r="N1204" s="251">
        <f>IF($R$11&lt;=M1204,IF($R$11&gt;=0,0,""),"")</f>
        <v>0</v>
      </c>
      <c r="O1204" s="251">
        <f>IF($R$11&lt;=M1204,IF($R$11&gt;=0,0,""),"")</f>
        <v>0</v>
      </c>
      <c r="P1204" s="251">
        <f>IF($R$11&lt;=M1204,IF($R$11&gt;=0,0,""),"")</f>
        <v>0</v>
      </c>
      <c r="Q1204" s="251">
        <f>IF($R$11&lt;=M1204,IF($R$11&gt;=0,0,""),"")</f>
        <v>0</v>
      </c>
      <c r="R1204" s="251">
        <f>IF($R$11&lt;=M1204,IF($R$11&gt;=0,0,""),"")</f>
        <v>0</v>
      </c>
      <c r="S1204" s="251">
        <f>IF($R$11&lt;=M1204,IF($R$11&gt;=0,0,""),"")</f>
        <v>0</v>
      </c>
      <c r="T1204" s="253"/>
      <c r="U1204" s="254">
        <v>0</v>
      </c>
      <c r="V1204" s="254">
        <v>0</v>
      </c>
      <c r="W1204" s="254">
        <v>0</v>
      </c>
      <c r="X1204" s="254">
        <v>0</v>
      </c>
      <c r="Y1204" s="254">
        <v>0</v>
      </c>
      <c r="Z1204" s="254">
        <v>0</v>
      </c>
    </row>
    <row r="1205" spans="13:26" x14ac:dyDescent="0.35">
      <c r="M1205" s="250">
        <v>1747</v>
      </c>
      <c r="N1205" s="251" t="str">
        <f>IF($R$11&lt;=M1205,IF($R$11&gt;=M1204+0.01,U1205,""),"")</f>
        <v/>
      </c>
      <c r="O1205" s="251" t="str">
        <f>IF($R$11&lt;=M1205,IF($R$11&gt;=M1204+0.01,V1205,""),"")</f>
        <v/>
      </c>
      <c r="P1205" s="251" t="str">
        <f>IF($R$11&lt;=M1205,IF($R$11&gt;=M1204+0.01,W1205,""),"")</f>
        <v/>
      </c>
      <c r="Q1205" s="251" t="str">
        <f>IF($R$11&lt;=M1205,IF($R$11&gt;=M1204+0.01,X1205,""),"")</f>
        <v/>
      </c>
      <c r="R1205" s="251" t="str">
        <f>IF($R$11&lt;=M1205,IF($R$11&gt;=M1204+0.01,Y1205,""),"")</f>
        <v/>
      </c>
      <c r="S1205" s="252" t="str">
        <f>IF($R$11&lt;=M1205,IF($R$11&gt;=M1204+0.01,Z1205,""),"")</f>
        <v/>
      </c>
      <c r="T1205" s="253"/>
      <c r="U1205" s="254">
        <v>8.9999999999999993E-3</v>
      </c>
      <c r="V1205" s="254">
        <v>0</v>
      </c>
      <c r="W1205" s="254">
        <v>0</v>
      </c>
      <c r="X1205" s="254">
        <v>0</v>
      </c>
      <c r="Y1205" s="254">
        <v>0</v>
      </c>
      <c r="Z1205" s="254">
        <v>0</v>
      </c>
    </row>
    <row r="1206" spans="13:26" x14ac:dyDescent="0.35">
      <c r="M1206" s="250">
        <v>1899</v>
      </c>
      <c r="N1206" s="251" t="str">
        <f>IF($R$11&lt;=M1206,IF($R$11&gt;=M1205+0.01,U1206,""),"")</f>
        <v/>
      </c>
      <c r="O1206" s="251" t="str">
        <f>IF($R$11&lt;=M1206,IF($R$11&gt;=M1205+0.01,V1206,""),"")</f>
        <v/>
      </c>
      <c r="P1206" s="251" t="str">
        <f>IF($R$11&lt;=M1206,IF($R$11&gt;=M1205+0.01,W1206,""),"")</f>
        <v/>
      </c>
      <c r="Q1206" s="251" t="str">
        <f>IF($R$11&lt;=M1206,IF($R$11&gt;=M1205+0.01,X1206,""),"")</f>
        <v/>
      </c>
      <c r="R1206" s="251" t="str">
        <f>IF($R$11&lt;=M1206,IF($R$11&gt;=M1205+0.01,Y1206,""),"")</f>
        <v/>
      </c>
      <c r="S1206" s="252" t="str">
        <f>IF($R$11&lt;=M1206,IF($R$11&gt;=M1205+0.01,Z1206,""),"")</f>
        <v/>
      </c>
      <c r="T1206" s="253"/>
      <c r="U1206" s="254">
        <v>3.7999999999999999E-2</v>
      </c>
      <c r="V1206" s="254">
        <v>1.2E-2</v>
      </c>
      <c r="W1206" s="254">
        <v>4.0000000000000001E-3</v>
      </c>
      <c r="X1206" s="254">
        <v>0</v>
      </c>
      <c r="Y1206" s="254">
        <v>0</v>
      </c>
      <c r="Z1206" s="254">
        <v>0</v>
      </c>
    </row>
    <row r="1207" spans="13:26" x14ac:dyDescent="0.35">
      <c r="M1207" s="250">
        <v>1966</v>
      </c>
      <c r="N1207" s="251" t="str">
        <f>IF($R$11&lt;=M1207,IF($R$11&gt;=M1206+0.01,U1207,""),"")</f>
        <v/>
      </c>
      <c r="O1207" s="251" t="str">
        <f>IF($R$11&lt;=M1207,IF($R$11&gt;=M1206+0.01,V1207,""),"")</f>
        <v/>
      </c>
      <c r="P1207" s="251" t="str">
        <f>IF($R$11&lt;=M1207,IF($R$11&gt;=M1206+0.01,W1207,""),"")</f>
        <v/>
      </c>
      <c r="Q1207" s="251" t="str">
        <f>IF($R$11&lt;=M1207,IF($R$11&gt;=M1206+0.01,X1207,""),"")</f>
        <v/>
      </c>
      <c r="R1207" s="251" t="str">
        <f>IF($R$11&lt;=M1207,IF($R$11&gt;=M1206+0.01,Y1207,""),"")</f>
        <v/>
      </c>
      <c r="S1207" s="252" t="str">
        <f>IF($R$11&lt;=M1207,IF($R$11&gt;=M1206+0.01,Z1207,""),"")</f>
        <v/>
      </c>
      <c r="T1207" s="253"/>
      <c r="U1207" s="254">
        <v>4.8000000000000001E-2</v>
      </c>
      <c r="V1207" s="254">
        <v>3.1E-2</v>
      </c>
      <c r="W1207" s="254">
        <v>2.3E-2</v>
      </c>
      <c r="X1207" s="254">
        <v>6.0000000000000001E-3</v>
      </c>
      <c r="Y1207" s="254">
        <v>0</v>
      </c>
      <c r="Z1207" s="254">
        <v>0</v>
      </c>
    </row>
    <row r="1208" spans="13:26" x14ac:dyDescent="0.35">
      <c r="M1208" s="250">
        <v>2334</v>
      </c>
      <c r="N1208" s="251" t="str">
        <f t="shared" ref="N1208:N1231" si="193">IF($R$11&lt;=M1208,IF($R$11&gt;=M1207+0.01,U1208,""),"")</f>
        <v/>
      </c>
      <c r="O1208" s="251" t="str">
        <f t="shared" ref="O1208:O1231" si="194">IF($R$11&lt;=M1208,IF($R$11&gt;=M1207+0.01,V1208,""),"")</f>
        <v/>
      </c>
      <c r="P1208" s="251" t="str">
        <f t="shared" ref="P1208:P1231" si="195">IF($R$11&lt;=M1208,IF($R$11&gt;=M1207+0.01,W1208,""),"")</f>
        <v/>
      </c>
      <c r="Q1208" s="251" t="str">
        <f t="shared" ref="Q1208:Q1231" si="196">IF($R$11&lt;=M1208,IF($R$11&gt;=M1207+0.01,X1208,""),"")</f>
        <v/>
      </c>
      <c r="R1208" s="251" t="str">
        <f t="shared" ref="R1208:R1231" si="197">IF($R$11&lt;=M1208,IF($R$11&gt;=M1207+0.01,Y1208,""),"")</f>
        <v/>
      </c>
      <c r="S1208" s="252" t="str">
        <f t="shared" ref="S1208:S1231" si="198">IF($R$11&lt;=M1208,IF($R$11&gt;=M1207+0.01,Z1208,""),"")</f>
        <v/>
      </c>
      <c r="T1208" s="253"/>
      <c r="U1208" s="254">
        <v>5.7000000000000002E-2</v>
      </c>
      <c r="V1208" s="254">
        <v>0.05</v>
      </c>
      <c r="W1208" s="254">
        <v>3.3000000000000002E-2</v>
      </c>
      <c r="X1208" s="254">
        <v>1.6E-2</v>
      </c>
      <c r="Y1208" s="254">
        <v>0</v>
      </c>
      <c r="Z1208" s="254">
        <v>0</v>
      </c>
    </row>
    <row r="1209" spans="13:26" x14ac:dyDescent="0.35">
      <c r="M1209" s="250">
        <v>2512</v>
      </c>
      <c r="N1209" s="251" t="str">
        <f t="shared" si="193"/>
        <v/>
      </c>
      <c r="O1209" s="251" t="str">
        <f t="shared" si="194"/>
        <v/>
      </c>
      <c r="P1209" s="251" t="str">
        <f t="shared" si="195"/>
        <v/>
      </c>
      <c r="Q1209" s="251" t="str">
        <f t="shared" si="196"/>
        <v/>
      </c>
      <c r="R1209" s="251" t="str">
        <f t="shared" si="197"/>
        <v/>
      </c>
      <c r="S1209" s="252" t="str">
        <f t="shared" si="198"/>
        <v/>
      </c>
      <c r="T1209" s="253"/>
      <c r="U1209" s="254">
        <v>6.7000000000000004E-2</v>
      </c>
      <c r="V1209" s="254">
        <v>0.06</v>
      </c>
      <c r="W1209" s="254">
        <v>4.2999999999999997E-2</v>
      </c>
      <c r="X1209" s="254">
        <v>2.5000000000000001E-2</v>
      </c>
      <c r="Y1209" s="254">
        <v>8.0000000000000002E-3</v>
      </c>
      <c r="Z1209" s="254">
        <v>0</v>
      </c>
    </row>
    <row r="1210" spans="13:26" x14ac:dyDescent="0.35">
      <c r="M1210" s="250">
        <v>2758</v>
      </c>
      <c r="N1210" s="251" t="str">
        <f t="shared" si="193"/>
        <v/>
      </c>
      <c r="O1210" s="251" t="str">
        <f t="shared" si="194"/>
        <v/>
      </c>
      <c r="P1210" s="251" t="str">
        <f t="shared" si="195"/>
        <v/>
      </c>
      <c r="Q1210" s="251" t="str">
        <f t="shared" si="196"/>
        <v/>
      </c>
      <c r="R1210" s="251" t="str">
        <f t="shared" si="197"/>
        <v/>
      </c>
      <c r="S1210" s="252" t="str">
        <f t="shared" si="198"/>
        <v/>
      </c>
      <c r="T1210" s="253"/>
      <c r="U1210" s="254">
        <v>8.5999999999999993E-2</v>
      </c>
      <c r="V1210" s="254">
        <v>7.9000000000000001E-2</v>
      </c>
      <c r="W1210" s="254">
        <v>6.2E-2</v>
      </c>
      <c r="X1210" s="254">
        <v>4.4999999999999998E-2</v>
      </c>
      <c r="Y1210" s="254">
        <v>3.6999999999999998E-2</v>
      </c>
      <c r="Z1210" s="254">
        <v>1.9E-2</v>
      </c>
    </row>
    <row r="1211" spans="13:26" x14ac:dyDescent="0.35">
      <c r="M1211" s="250">
        <v>2962</v>
      </c>
      <c r="N1211" s="251" t="str">
        <f t="shared" si="193"/>
        <v/>
      </c>
      <c r="O1211" s="251" t="str">
        <f t="shared" si="194"/>
        <v/>
      </c>
      <c r="P1211" s="251" t="str">
        <f t="shared" si="195"/>
        <v/>
      </c>
      <c r="Q1211" s="251" t="str">
        <f t="shared" si="196"/>
        <v/>
      </c>
      <c r="R1211" s="251" t="str">
        <f t="shared" si="197"/>
        <v/>
      </c>
      <c r="S1211" s="252" t="str">
        <f t="shared" si="198"/>
        <v/>
      </c>
      <c r="T1211" s="253"/>
      <c r="U1211" s="254">
        <v>9.6000000000000002E-2</v>
      </c>
      <c r="V1211" s="254">
        <v>8.8999999999999996E-2</v>
      </c>
      <c r="W1211" s="254">
        <v>7.1999999999999995E-2</v>
      </c>
      <c r="X1211" s="254">
        <v>5.3999999999999999E-2</v>
      </c>
      <c r="Y1211" s="254">
        <v>4.7E-2</v>
      </c>
      <c r="Z1211" s="254">
        <v>2.9000000000000001E-2</v>
      </c>
    </row>
    <row r="1212" spans="13:26" x14ac:dyDescent="0.35">
      <c r="M1212" s="250">
        <v>3176</v>
      </c>
      <c r="N1212" s="251" t="str">
        <f t="shared" si="193"/>
        <v/>
      </c>
      <c r="O1212" s="251" t="str">
        <f t="shared" si="194"/>
        <v/>
      </c>
      <c r="P1212" s="251" t="str">
        <f t="shared" si="195"/>
        <v/>
      </c>
      <c r="Q1212" s="251" t="str">
        <f t="shared" si="196"/>
        <v/>
      </c>
      <c r="R1212" s="251" t="str">
        <f t="shared" si="197"/>
        <v/>
      </c>
      <c r="S1212" s="252" t="str">
        <f t="shared" si="198"/>
        <v/>
      </c>
      <c r="T1212" s="253"/>
      <c r="U1212" s="254">
        <v>0.111</v>
      </c>
      <c r="V1212" s="254">
        <v>0.105</v>
      </c>
      <c r="W1212" s="254">
        <v>8.6999999999999994E-2</v>
      </c>
      <c r="X1212" s="254">
        <v>7.0000000000000007E-2</v>
      </c>
      <c r="Y1212" s="254">
        <v>6.2E-2</v>
      </c>
      <c r="Z1212" s="254">
        <v>4.4999999999999998E-2</v>
      </c>
    </row>
    <row r="1213" spans="13:26" x14ac:dyDescent="0.35">
      <c r="M1213" s="250">
        <v>3345</v>
      </c>
      <c r="N1213" s="251" t="str">
        <f t="shared" si="193"/>
        <v/>
      </c>
      <c r="O1213" s="251" t="str">
        <f t="shared" si="194"/>
        <v/>
      </c>
      <c r="P1213" s="251" t="str">
        <f t="shared" si="195"/>
        <v/>
      </c>
      <c r="Q1213" s="251" t="str">
        <f t="shared" si="196"/>
        <v/>
      </c>
      <c r="R1213" s="251" t="str">
        <f t="shared" si="197"/>
        <v/>
      </c>
      <c r="S1213" s="252" t="str">
        <f t="shared" si="198"/>
        <v/>
      </c>
      <c r="T1213" s="253"/>
      <c r="U1213" s="254">
        <v>0.121</v>
      </c>
      <c r="V1213" s="254">
        <v>0.11799999999999999</v>
      </c>
      <c r="W1213" s="254">
        <v>0.105</v>
      </c>
      <c r="X1213" s="254">
        <v>9.0999999999999998E-2</v>
      </c>
      <c r="Y1213" s="254">
        <v>8.6999999999999994E-2</v>
      </c>
      <c r="Z1213" s="254">
        <v>8.3000000000000004E-2</v>
      </c>
    </row>
    <row r="1214" spans="13:26" x14ac:dyDescent="0.35">
      <c r="M1214" s="250">
        <v>3502</v>
      </c>
      <c r="N1214" s="251" t="str">
        <f t="shared" si="193"/>
        <v/>
      </c>
      <c r="O1214" s="251" t="str">
        <f t="shared" si="194"/>
        <v/>
      </c>
      <c r="P1214" s="251" t="str">
        <f t="shared" si="195"/>
        <v/>
      </c>
      <c r="Q1214" s="251" t="str">
        <f t="shared" si="196"/>
        <v/>
      </c>
      <c r="R1214" s="251" t="str">
        <f t="shared" si="197"/>
        <v/>
      </c>
      <c r="S1214" s="252" t="str">
        <f t="shared" si="198"/>
        <v/>
      </c>
      <c r="T1214" s="253"/>
      <c r="U1214" s="254">
        <v>0.13800000000000001</v>
      </c>
      <c r="V1214" s="254">
        <v>0.13700000000000001</v>
      </c>
      <c r="W1214" s="254">
        <v>0.122</v>
      </c>
      <c r="X1214" s="254">
        <v>0.108</v>
      </c>
      <c r="Y1214" s="254">
        <v>0.104</v>
      </c>
      <c r="Z1214" s="254">
        <v>0.1</v>
      </c>
    </row>
    <row r="1215" spans="13:26" x14ac:dyDescent="0.35">
      <c r="M1215" s="250">
        <v>3605</v>
      </c>
      <c r="N1215" s="251" t="str">
        <f t="shared" si="193"/>
        <v/>
      </c>
      <c r="O1215" s="251" t="str">
        <f t="shared" si="194"/>
        <v/>
      </c>
      <c r="P1215" s="251" t="str">
        <f t="shared" si="195"/>
        <v/>
      </c>
      <c r="Q1215" s="251" t="str">
        <f t="shared" si="196"/>
        <v/>
      </c>
      <c r="R1215" s="251" t="str">
        <f t="shared" si="197"/>
        <v/>
      </c>
      <c r="S1215" s="252" t="str">
        <f t="shared" si="198"/>
        <v/>
      </c>
      <c r="T1215" s="253"/>
      <c r="U1215" s="254">
        <v>0.14799999999999999</v>
      </c>
      <c r="V1215" s="254">
        <v>0.14699999999999999</v>
      </c>
      <c r="W1215" s="254">
        <v>0.14299999999999999</v>
      </c>
      <c r="X1215" s="254">
        <v>0.11799999999999999</v>
      </c>
      <c r="Y1215" s="254">
        <v>0.114</v>
      </c>
      <c r="Z1215" s="254">
        <v>0.11</v>
      </c>
    </row>
    <row r="1216" spans="13:26" x14ac:dyDescent="0.35">
      <c r="M1216" s="250">
        <v>3814</v>
      </c>
      <c r="N1216" s="251" t="str">
        <f t="shared" si="193"/>
        <v/>
      </c>
      <c r="O1216" s="251" t="str">
        <f t="shared" si="194"/>
        <v/>
      </c>
      <c r="P1216" s="251" t="str">
        <f t="shared" si="195"/>
        <v/>
      </c>
      <c r="Q1216" s="251" t="str">
        <f t="shared" si="196"/>
        <v/>
      </c>
      <c r="R1216" s="251" t="str">
        <f t="shared" si="197"/>
        <v/>
      </c>
      <c r="S1216" s="252" t="str">
        <f t="shared" si="198"/>
        <v/>
      </c>
      <c r="T1216" s="253"/>
      <c r="U1216" s="254">
        <v>0.158</v>
      </c>
      <c r="V1216" s="254">
        <v>0.157</v>
      </c>
      <c r="W1216" s="254">
        <v>0.153</v>
      </c>
      <c r="X1216" s="254">
        <v>0.129</v>
      </c>
      <c r="Y1216" s="254">
        <v>0.124</v>
      </c>
      <c r="Z1216" s="254">
        <v>0.12</v>
      </c>
    </row>
    <row r="1217" spans="13:26" x14ac:dyDescent="0.35">
      <c r="M1217" s="250">
        <v>3921</v>
      </c>
      <c r="N1217" s="251" t="str">
        <f t="shared" si="193"/>
        <v/>
      </c>
      <c r="O1217" s="251" t="str">
        <f t="shared" si="194"/>
        <v/>
      </c>
      <c r="P1217" s="251" t="str">
        <f t="shared" si="195"/>
        <v/>
      </c>
      <c r="Q1217" s="251" t="str">
        <f t="shared" si="196"/>
        <v/>
      </c>
      <c r="R1217" s="251" t="str">
        <f t="shared" si="197"/>
        <v/>
      </c>
      <c r="S1217" s="252" t="str">
        <f t="shared" si="198"/>
        <v/>
      </c>
      <c r="T1217" s="253"/>
      <c r="U1217" s="254">
        <v>0.16800000000000001</v>
      </c>
      <c r="V1217" s="254">
        <v>0.16700000000000001</v>
      </c>
      <c r="W1217" s="254">
        <v>0.16300000000000001</v>
      </c>
      <c r="X1217" s="254">
        <v>0.13900000000000001</v>
      </c>
      <c r="Y1217" s="254">
        <v>0.13500000000000001</v>
      </c>
      <c r="Z1217" s="254">
        <v>0.129</v>
      </c>
    </row>
    <row r="1218" spans="13:26" x14ac:dyDescent="0.35">
      <c r="M1218" s="250">
        <v>4238</v>
      </c>
      <c r="N1218" s="251" t="str">
        <f t="shared" si="193"/>
        <v/>
      </c>
      <c r="O1218" s="251" t="str">
        <f t="shared" si="194"/>
        <v/>
      </c>
      <c r="P1218" s="251" t="str">
        <f t="shared" si="195"/>
        <v/>
      </c>
      <c r="Q1218" s="251" t="str">
        <f t="shared" si="196"/>
        <v/>
      </c>
      <c r="R1218" s="251" t="str">
        <f t="shared" si="197"/>
        <v/>
      </c>
      <c r="S1218" s="252" t="str">
        <f t="shared" si="198"/>
        <v/>
      </c>
      <c r="T1218" s="253"/>
      <c r="U1218" s="254">
        <v>0.17799999999999999</v>
      </c>
      <c r="V1218" s="254">
        <v>0.17599999999999999</v>
      </c>
      <c r="W1218" s="254">
        <v>0.17199999999999999</v>
      </c>
      <c r="X1218" s="254">
        <v>0.14899999999999999</v>
      </c>
      <c r="Y1218" s="254">
        <v>0.14499999999999999</v>
      </c>
      <c r="Z1218" s="254">
        <v>0.14099999999999999</v>
      </c>
    </row>
    <row r="1219" spans="13:26" x14ac:dyDescent="0.35">
      <c r="M1219" s="250">
        <v>4442</v>
      </c>
      <c r="N1219" s="251" t="str">
        <f t="shared" si="193"/>
        <v/>
      </c>
      <c r="O1219" s="251" t="str">
        <f t="shared" si="194"/>
        <v/>
      </c>
      <c r="P1219" s="251" t="str">
        <f t="shared" si="195"/>
        <v/>
      </c>
      <c r="Q1219" s="251" t="str">
        <f t="shared" si="196"/>
        <v/>
      </c>
      <c r="R1219" s="251" t="str">
        <f t="shared" si="197"/>
        <v/>
      </c>
      <c r="S1219" s="252" t="str">
        <f t="shared" si="198"/>
        <v/>
      </c>
      <c r="T1219" s="253"/>
      <c r="U1219" s="254">
        <v>0.188</v>
      </c>
      <c r="V1219" s="254">
        <v>0.186</v>
      </c>
      <c r="W1219" s="254">
        <v>0.182</v>
      </c>
      <c r="X1219" s="254">
        <v>0.159</v>
      </c>
      <c r="Y1219" s="254">
        <v>0.155</v>
      </c>
      <c r="Z1219" s="254">
        <v>0.151</v>
      </c>
    </row>
    <row r="1220" spans="13:26" x14ac:dyDescent="0.35">
      <c r="M1220" s="250">
        <v>4876</v>
      </c>
      <c r="N1220" s="251" t="str">
        <f t="shared" si="193"/>
        <v/>
      </c>
      <c r="O1220" s="251" t="str">
        <f t="shared" si="194"/>
        <v/>
      </c>
      <c r="P1220" s="251" t="str">
        <f t="shared" si="195"/>
        <v/>
      </c>
      <c r="Q1220" s="251" t="str">
        <f t="shared" si="196"/>
        <v/>
      </c>
      <c r="R1220" s="251" t="str">
        <f t="shared" si="197"/>
        <v/>
      </c>
      <c r="S1220" s="252" t="str">
        <f t="shared" si="198"/>
        <v/>
      </c>
      <c r="T1220" s="253"/>
      <c r="U1220" s="254">
        <v>0.19800000000000001</v>
      </c>
      <c r="V1220" s="254">
        <v>0.19600000000000001</v>
      </c>
      <c r="W1220" s="254">
        <v>0.192</v>
      </c>
      <c r="X1220" s="254">
        <v>0.16800000000000001</v>
      </c>
      <c r="Y1220" s="254">
        <v>0.16500000000000001</v>
      </c>
      <c r="Z1220" s="254">
        <v>0.161</v>
      </c>
    </row>
    <row r="1221" spans="13:26" x14ac:dyDescent="0.35">
      <c r="M1221" s="250">
        <v>5300</v>
      </c>
      <c r="N1221" s="251" t="str">
        <f t="shared" si="193"/>
        <v/>
      </c>
      <c r="O1221" s="251" t="str">
        <f t="shared" si="194"/>
        <v/>
      </c>
      <c r="P1221" s="251" t="str">
        <f t="shared" si="195"/>
        <v/>
      </c>
      <c r="Q1221" s="251" t="str">
        <f t="shared" si="196"/>
        <v/>
      </c>
      <c r="R1221" s="251" t="str">
        <f t="shared" si="197"/>
        <v/>
      </c>
      <c r="S1221" s="252" t="str">
        <f t="shared" si="198"/>
        <v/>
      </c>
      <c r="T1221" s="253"/>
      <c r="U1221" s="254">
        <v>0.20799999999999999</v>
      </c>
      <c r="V1221" s="254">
        <v>0.20599999999999999</v>
      </c>
      <c r="W1221" s="254">
        <v>0.20200000000000001</v>
      </c>
      <c r="X1221" s="254">
        <v>0.17799999999999999</v>
      </c>
      <c r="Y1221" s="254">
        <v>0.17399999999999999</v>
      </c>
      <c r="Z1221" s="254">
        <v>0.17</v>
      </c>
    </row>
    <row r="1222" spans="13:26" x14ac:dyDescent="0.35">
      <c r="M1222" s="250">
        <v>5509</v>
      </c>
      <c r="N1222" s="251" t="str">
        <f t="shared" si="193"/>
        <v/>
      </c>
      <c r="O1222" s="251" t="str">
        <f t="shared" si="194"/>
        <v/>
      </c>
      <c r="P1222" s="251" t="str">
        <f t="shared" si="195"/>
        <v/>
      </c>
      <c r="Q1222" s="251" t="str">
        <f t="shared" si="196"/>
        <v/>
      </c>
      <c r="R1222" s="251" t="str">
        <f t="shared" si="197"/>
        <v/>
      </c>
      <c r="S1222" s="252" t="str">
        <f t="shared" si="198"/>
        <v/>
      </c>
      <c r="T1222" s="253"/>
      <c r="U1222" s="254">
        <v>0.217</v>
      </c>
      <c r="V1222" s="254">
        <v>0.216</v>
      </c>
      <c r="W1222" s="254">
        <v>0.21199999999999999</v>
      </c>
      <c r="X1222" s="254">
        <v>0.19800000000000001</v>
      </c>
      <c r="Y1222" s="254">
        <v>0.184</v>
      </c>
      <c r="Z1222" s="254">
        <v>0.18</v>
      </c>
    </row>
    <row r="1223" spans="13:26" x14ac:dyDescent="0.35">
      <c r="M1223" s="250">
        <v>5943</v>
      </c>
      <c r="N1223" s="251" t="str">
        <f t="shared" si="193"/>
        <v/>
      </c>
      <c r="O1223" s="251" t="str">
        <f t="shared" si="194"/>
        <v/>
      </c>
      <c r="P1223" s="251" t="str">
        <f t="shared" si="195"/>
        <v/>
      </c>
      <c r="Q1223" s="251" t="str">
        <f t="shared" si="196"/>
        <v/>
      </c>
      <c r="R1223" s="251" t="str">
        <f t="shared" si="197"/>
        <v/>
      </c>
      <c r="S1223" s="252" t="str">
        <f t="shared" si="198"/>
        <v/>
      </c>
      <c r="T1223" s="253"/>
      <c r="U1223" s="254">
        <v>0.22700000000000001</v>
      </c>
      <c r="V1223" s="254">
        <v>0.22600000000000001</v>
      </c>
      <c r="W1223" s="254">
        <v>0.222</v>
      </c>
      <c r="X1223" s="254">
        <v>0.20799999999999999</v>
      </c>
      <c r="Y1223" s="254">
        <v>0.19400000000000001</v>
      </c>
      <c r="Z1223" s="254">
        <v>0.19</v>
      </c>
    </row>
    <row r="1224" spans="13:26" x14ac:dyDescent="0.35">
      <c r="M1224" s="250">
        <v>6255</v>
      </c>
      <c r="N1224" s="251" t="str">
        <f t="shared" si="193"/>
        <v/>
      </c>
      <c r="O1224" s="251" t="str">
        <f t="shared" si="194"/>
        <v/>
      </c>
      <c r="P1224" s="251" t="str">
        <f t="shared" si="195"/>
        <v/>
      </c>
      <c r="Q1224" s="251" t="str">
        <f t="shared" si="196"/>
        <v/>
      </c>
      <c r="R1224" s="251" t="str">
        <f t="shared" si="197"/>
        <v/>
      </c>
      <c r="S1224" s="252" t="str">
        <f t="shared" si="198"/>
        <v/>
      </c>
      <c r="T1224" s="253"/>
      <c r="U1224" s="254">
        <v>0.23699999999999999</v>
      </c>
      <c r="V1224" s="254">
        <v>0.23599999999999999</v>
      </c>
      <c r="W1224" s="254">
        <v>0.23200000000000001</v>
      </c>
      <c r="X1224" s="254">
        <v>0.218</v>
      </c>
      <c r="Y1224" s="254">
        <v>0.20399999999999999</v>
      </c>
      <c r="Z1224" s="254">
        <v>0.2</v>
      </c>
    </row>
    <row r="1225" spans="13:26" x14ac:dyDescent="0.35">
      <c r="M1225" s="250">
        <v>6837</v>
      </c>
      <c r="N1225" s="251" t="str">
        <f t="shared" si="193"/>
        <v/>
      </c>
      <c r="O1225" s="251" t="str">
        <f t="shared" si="194"/>
        <v/>
      </c>
      <c r="P1225" s="251" t="str">
        <f t="shared" si="195"/>
        <v/>
      </c>
      <c r="Q1225" s="251" t="str">
        <f t="shared" si="196"/>
        <v/>
      </c>
      <c r="R1225" s="251" t="str">
        <f t="shared" si="197"/>
        <v/>
      </c>
      <c r="S1225" s="252" t="str">
        <f t="shared" si="198"/>
        <v/>
      </c>
      <c r="T1225" s="253"/>
      <c r="U1225" s="254">
        <v>0.252</v>
      </c>
      <c r="V1225" s="254">
        <v>0.252</v>
      </c>
      <c r="W1225" s="254">
        <v>0.25</v>
      </c>
      <c r="X1225" s="254">
        <v>0.23499999999999999</v>
      </c>
      <c r="Y1225" s="254">
        <v>0.223</v>
      </c>
      <c r="Z1225" s="254">
        <v>0.221</v>
      </c>
    </row>
    <row r="1226" spans="13:26" x14ac:dyDescent="0.35">
      <c r="M1226" s="250">
        <v>7362</v>
      </c>
      <c r="N1226" s="251" t="str">
        <f t="shared" si="193"/>
        <v/>
      </c>
      <c r="O1226" s="251" t="str">
        <f t="shared" si="194"/>
        <v/>
      </c>
      <c r="P1226" s="251" t="str">
        <f t="shared" si="195"/>
        <v/>
      </c>
      <c r="Q1226" s="251" t="str">
        <f t="shared" si="196"/>
        <v/>
      </c>
      <c r="R1226" s="251" t="str">
        <f t="shared" si="197"/>
        <v/>
      </c>
      <c r="S1226" s="252" t="str">
        <f t="shared" si="198"/>
        <v/>
      </c>
      <c r="T1226" s="253"/>
      <c r="U1226" s="254">
        <v>0.26200000000000001</v>
      </c>
      <c r="V1226" s="254">
        <v>0.26200000000000001</v>
      </c>
      <c r="W1226" s="254">
        <v>0.26</v>
      </c>
      <c r="X1226" s="254">
        <v>0.248</v>
      </c>
      <c r="Y1226" s="254">
        <v>0.24299999999999999</v>
      </c>
      <c r="Z1226" s="254">
        <v>0.23100000000000001</v>
      </c>
    </row>
    <row r="1227" spans="13:26" x14ac:dyDescent="0.35">
      <c r="M1227" s="250">
        <v>8199</v>
      </c>
      <c r="N1227" s="251" t="str">
        <f t="shared" si="193"/>
        <v/>
      </c>
      <c r="O1227" s="251" t="str">
        <f t="shared" si="194"/>
        <v/>
      </c>
      <c r="P1227" s="251" t="str">
        <f t="shared" si="195"/>
        <v/>
      </c>
      <c r="Q1227" s="251" t="str">
        <f t="shared" si="196"/>
        <v/>
      </c>
      <c r="R1227" s="251" t="str">
        <f t="shared" si="197"/>
        <v/>
      </c>
      <c r="S1227" s="252" t="str">
        <f t="shared" si="198"/>
        <v/>
      </c>
      <c r="T1227" s="253"/>
      <c r="U1227" s="254">
        <v>0.27200000000000002</v>
      </c>
      <c r="V1227" s="254">
        <v>0.27200000000000002</v>
      </c>
      <c r="W1227" s="254">
        <v>0.27</v>
      </c>
      <c r="X1227" s="254">
        <v>0.25800000000000001</v>
      </c>
      <c r="Y1227" s="254">
        <v>0.25600000000000001</v>
      </c>
      <c r="Z1227" s="254">
        <v>0.24099999999999999</v>
      </c>
    </row>
    <row r="1228" spans="13:26" x14ac:dyDescent="0.35">
      <c r="M1228" s="250">
        <v>9150</v>
      </c>
      <c r="N1228" s="251" t="str">
        <f t="shared" si="193"/>
        <v/>
      </c>
      <c r="O1228" s="251" t="str">
        <f t="shared" si="194"/>
        <v/>
      </c>
      <c r="P1228" s="251" t="str">
        <f t="shared" si="195"/>
        <v/>
      </c>
      <c r="Q1228" s="251" t="str">
        <f t="shared" si="196"/>
        <v/>
      </c>
      <c r="R1228" s="251" t="str">
        <f t="shared" si="197"/>
        <v/>
      </c>
      <c r="S1228" s="252" t="str">
        <f t="shared" si="198"/>
        <v/>
      </c>
      <c r="T1228" s="253"/>
      <c r="U1228" s="254">
        <v>0.28199999999999997</v>
      </c>
      <c r="V1228" s="254">
        <v>0.28199999999999997</v>
      </c>
      <c r="W1228" s="254">
        <v>0.28000000000000003</v>
      </c>
      <c r="X1228" s="254">
        <v>0.26800000000000002</v>
      </c>
      <c r="Y1228" s="254">
        <v>0.26600000000000001</v>
      </c>
      <c r="Z1228" s="254">
        <v>0.254</v>
      </c>
    </row>
    <row r="1229" spans="13:26" x14ac:dyDescent="0.35">
      <c r="M1229" s="250">
        <v>10201</v>
      </c>
      <c r="N1229" s="251" t="str">
        <f t="shared" si="193"/>
        <v/>
      </c>
      <c r="O1229" s="251" t="str">
        <f t="shared" si="194"/>
        <v/>
      </c>
      <c r="P1229" s="251" t="str">
        <f t="shared" si="195"/>
        <v/>
      </c>
      <c r="Q1229" s="251" t="str">
        <f t="shared" si="196"/>
        <v/>
      </c>
      <c r="R1229" s="251" t="str">
        <f t="shared" si="197"/>
        <v/>
      </c>
      <c r="S1229" s="252" t="str">
        <f t="shared" si="198"/>
        <v/>
      </c>
      <c r="T1229" s="253"/>
      <c r="U1229" s="254">
        <v>0.29699999999999999</v>
      </c>
      <c r="V1229" s="254">
        <v>0.29699999999999999</v>
      </c>
      <c r="W1229" s="254">
        <v>0.29499999999999998</v>
      </c>
      <c r="X1229" s="254">
        <v>0.28299999999999997</v>
      </c>
      <c r="Y1229" s="254">
        <v>0.28100000000000003</v>
      </c>
      <c r="Z1229" s="254">
        <v>0.26900000000000002</v>
      </c>
    </row>
    <row r="1230" spans="13:26" x14ac:dyDescent="0.35">
      <c r="M1230" s="250">
        <v>11253</v>
      </c>
      <c r="N1230" s="251" t="str">
        <f t="shared" si="193"/>
        <v/>
      </c>
      <c r="O1230" s="251" t="str">
        <f t="shared" si="194"/>
        <v/>
      </c>
      <c r="P1230" s="251" t="str">
        <f t="shared" si="195"/>
        <v/>
      </c>
      <c r="Q1230" s="251" t="str">
        <f t="shared" si="196"/>
        <v/>
      </c>
      <c r="R1230" s="251" t="str">
        <f t="shared" si="197"/>
        <v/>
      </c>
      <c r="S1230" s="252" t="str">
        <f t="shared" si="198"/>
        <v/>
      </c>
      <c r="T1230" s="253"/>
      <c r="U1230" s="254">
        <v>0.307</v>
      </c>
      <c r="V1230" s="254">
        <v>0.307</v>
      </c>
      <c r="W1230" s="254">
        <v>0.30499999999999999</v>
      </c>
      <c r="X1230" s="254">
        <v>0.29299999999999998</v>
      </c>
      <c r="Y1230" s="254">
        <v>0.29099999999999998</v>
      </c>
      <c r="Z1230" s="254">
        <v>0.27900000000000003</v>
      </c>
    </row>
    <row r="1231" spans="13:26" x14ac:dyDescent="0.35">
      <c r="M1231" s="250">
        <v>12969</v>
      </c>
      <c r="N1231" s="251" t="str">
        <f t="shared" si="193"/>
        <v/>
      </c>
      <c r="O1231" s="251" t="str">
        <f t="shared" si="194"/>
        <v/>
      </c>
      <c r="P1231" s="251" t="str">
        <f t="shared" si="195"/>
        <v/>
      </c>
      <c r="Q1231" s="251" t="str">
        <f t="shared" si="196"/>
        <v/>
      </c>
      <c r="R1231" s="251" t="str">
        <f t="shared" si="197"/>
        <v/>
      </c>
      <c r="S1231" s="252" t="str">
        <f t="shared" si="198"/>
        <v/>
      </c>
      <c r="T1231" s="253"/>
      <c r="U1231" s="254">
        <v>0.32100000000000001</v>
      </c>
      <c r="V1231" s="254">
        <v>0.32100000000000001</v>
      </c>
      <c r="W1231" s="254">
        <v>0.32</v>
      </c>
      <c r="X1231" s="254">
        <v>0.308</v>
      </c>
      <c r="Y1231" s="254">
        <v>0.30599999999999999</v>
      </c>
      <c r="Z1231" s="254">
        <v>0.29399999999999998</v>
      </c>
    </row>
    <row r="1232" spans="13:26" x14ac:dyDescent="0.35">
      <c r="M1232" s="250">
        <v>12969</v>
      </c>
      <c r="N1232" s="251" t="str">
        <f>IF($R$11&gt;=M1231+0.01,U1232,"")</f>
        <v/>
      </c>
      <c r="O1232" s="251" t="str">
        <f>IF($R$11&gt;=M1231,V1232,"")</f>
        <v/>
      </c>
      <c r="P1232" s="251" t="str">
        <f>IF($R$11&gt;=M1231,W1232,"")</f>
        <v/>
      </c>
      <c r="Q1232" s="251" t="str">
        <f>IF($R$11&gt;=M1231,X1232,"")</f>
        <v/>
      </c>
      <c r="R1232" s="252" t="str">
        <f>IF($R$11&gt;=M1231,Y1232,"")</f>
        <v/>
      </c>
      <c r="S1232" s="251" t="str">
        <f>IF($R$11&gt;=M1231,Z1232,"")</f>
        <v/>
      </c>
      <c r="T1232" s="253"/>
      <c r="U1232" s="254">
        <v>0.33100000000000002</v>
      </c>
      <c r="V1232" s="254">
        <v>0.33100000000000002</v>
      </c>
      <c r="W1232" s="254">
        <v>0.32900000000000001</v>
      </c>
      <c r="X1232" s="254">
        <v>0.318</v>
      </c>
      <c r="Y1232" s="254">
        <v>0.316</v>
      </c>
      <c r="Z1232" s="254">
        <v>0.30399999999999999</v>
      </c>
    </row>
    <row r="1233" spans="13:26" x14ac:dyDescent="0.35">
      <c r="M1233" s="249"/>
      <c r="N1233" s="257" t="str">
        <f>IF($A$15=3,IF($A$2=11,IF($I$2=0,SUM(N1204:N1232),""),""),"")</f>
        <v/>
      </c>
      <c r="O1233" s="258" t="str">
        <f>IF($A$15=3,IF($A$2=11,IF($I$2=1,SUM(O1204:O1232),""),""),"")</f>
        <v/>
      </c>
      <c r="P1233" s="258" t="str">
        <f>IF($A$15=3,IF($A$2=11,IF($I$2=2,SUM(P1204:P1232),""),""),"")</f>
        <v/>
      </c>
      <c r="Q1233" s="258" t="str">
        <f>IF($A$15=3,IF($A$2=11,IF($I$2=3,SUM(Q1204:Q1232),""),""),"")</f>
        <v/>
      </c>
      <c r="R1233" s="258" t="str">
        <f>IF($A$15=3,IF($A$2=11,IF($I$2=4,SUM(R1204:R1232),""),""),"")</f>
        <v/>
      </c>
      <c r="S1233" s="259" t="str">
        <f>IF($A$15=3,IF($A$2=11,IF($I$2=5,SUM(S1204:S1232),""),""),"")</f>
        <v/>
      </c>
      <c r="T1233" s="260">
        <f>SUM(N1233:S1233)</f>
        <v>0</v>
      </c>
      <c r="U1233" s="253"/>
      <c r="V1233" s="253"/>
      <c r="W1233" s="253"/>
      <c r="X1233" s="253"/>
      <c r="Y1233" s="253"/>
      <c r="Z1233" s="253"/>
    </row>
    <row r="1234" spans="13:26" x14ac:dyDescent="0.35">
      <c r="M1234" s="249"/>
      <c r="N1234" s="249"/>
      <c r="O1234" s="249"/>
      <c r="P1234" s="261"/>
      <c r="Q1234" s="261"/>
      <c r="R1234" s="261"/>
      <c r="S1234" s="249"/>
      <c r="T1234" s="253"/>
      <c r="U1234" s="253"/>
      <c r="V1234" s="253"/>
      <c r="W1234" s="253"/>
      <c r="X1234" s="253"/>
      <c r="Y1234" s="253"/>
      <c r="Z1234" s="253"/>
    </row>
    <row r="1235" spans="13:26" x14ac:dyDescent="0.35">
      <c r="M1235" s="249"/>
      <c r="N1235" s="249"/>
      <c r="O1235" s="249"/>
      <c r="P1235" s="249"/>
      <c r="Q1235" s="249"/>
      <c r="R1235" s="249"/>
      <c r="S1235" s="249"/>
      <c r="T1235" s="253"/>
      <c r="U1235" s="253"/>
      <c r="V1235" s="253"/>
      <c r="W1235" s="253"/>
      <c r="X1235" s="253"/>
      <c r="Y1235" s="253"/>
      <c r="Z1235" s="253"/>
    </row>
    <row r="1236" spans="13:26" x14ac:dyDescent="0.35">
      <c r="M1236" s="249"/>
      <c r="N1236" s="249"/>
      <c r="O1236" s="249"/>
      <c r="P1236" s="249"/>
      <c r="Q1236" s="249"/>
      <c r="R1236" s="249"/>
      <c r="S1236" s="249"/>
      <c r="T1236" s="253"/>
      <c r="U1236" s="253"/>
      <c r="V1236" s="253"/>
      <c r="W1236" s="253"/>
      <c r="X1236" s="253"/>
      <c r="Y1236" s="253"/>
      <c r="Z1236" s="253"/>
    </row>
    <row r="1237" spans="13:26" x14ac:dyDescent="0.35">
      <c r="M1237" s="263" t="s">
        <v>214</v>
      </c>
      <c r="N1237" s="284"/>
      <c r="O1237" s="284" t="s">
        <v>185</v>
      </c>
      <c r="P1237" s="284"/>
      <c r="Q1237" s="284"/>
      <c r="R1237" s="284"/>
      <c r="S1237" s="285"/>
      <c r="T1237" s="286"/>
      <c r="U1237" s="286" t="str">
        <f>O1237</f>
        <v>Tabelas de IRS de retenção na fonte referente a 2018 na Madeira</v>
      </c>
      <c r="V1237" s="286"/>
      <c r="W1237" s="286"/>
      <c r="X1237" s="286"/>
      <c r="Y1237" s="286"/>
      <c r="Z1237" s="286"/>
    </row>
    <row r="1238" spans="13:26" x14ac:dyDescent="0.35">
      <c r="M1238" s="285"/>
      <c r="N1238" s="284"/>
      <c r="O1238" s="284" t="s">
        <v>209</v>
      </c>
      <c r="P1238" s="285"/>
      <c r="Q1238" s="284"/>
      <c r="R1238" s="284"/>
      <c r="S1238" s="285"/>
      <c r="T1238" s="286"/>
      <c r="U1238" s="286"/>
      <c r="V1238" s="286"/>
      <c r="W1238" s="286"/>
      <c r="X1238" s="286"/>
      <c r="Y1238" s="286"/>
      <c r="Z1238" s="286"/>
    </row>
    <row r="1239" spans="13:26" x14ac:dyDescent="0.35">
      <c r="M1239" s="284"/>
      <c r="N1239" s="284"/>
      <c r="O1239" s="284" t="s">
        <v>192</v>
      </c>
      <c r="P1239" s="285"/>
      <c r="Q1239" s="284"/>
      <c r="R1239" s="284"/>
      <c r="S1239" s="285"/>
      <c r="T1239" s="286"/>
      <c r="U1239" s="286" t="str">
        <f>O1239</f>
        <v>CASADO DOIS TITULARES - DEFICIENTE</v>
      </c>
      <c r="V1239" s="286"/>
      <c r="W1239" s="286"/>
      <c r="X1239" s="286"/>
      <c r="Y1239" s="286"/>
      <c r="Z1239" s="286"/>
    </row>
    <row r="1240" spans="13:26" x14ac:dyDescent="0.35">
      <c r="M1240" s="267" t="s">
        <v>154</v>
      </c>
      <c r="N1240" s="268" t="s">
        <v>155</v>
      </c>
      <c r="O1240" s="268" t="s">
        <v>156</v>
      </c>
      <c r="P1240" s="268" t="s">
        <v>157</v>
      </c>
      <c r="Q1240" s="268" t="s">
        <v>158</v>
      </c>
      <c r="R1240" s="268" t="s">
        <v>159</v>
      </c>
      <c r="S1240" s="268" t="s">
        <v>160</v>
      </c>
      <c r="T1240" s="253"/>
      <c r="U1240" s="269" t="str">
        <f t="shared" ref="U1240:Z1240" si="199">N1240</f>
        <v>0 dep</v>
      </c>
      <c r="V1240" s="269" t="str">
        <f t="shared" si="199"/>
        <v>1 dep</v>
      </c>
      <c r="W1240" s="269" t="str">
        <f t="shared" si="199"/>
        <v>2 dep</v>
      </c>
      <c r="X1240" s="269" t="str">
        <f t="shared" si="199"/>
        <v>3 dep</v>
      </c>
      <c r="Y1240" s="269" t="str">
        <f t="shared" si="199"/>
        <v>4 dep</v>
      </c>
      <c r="Z1240" s="269" t="str">
        <f t="shared" si="199"/>
        <v>5 dep. ou +</v>
      </c>
    </row>
    <row r="1241" spans="13:26" x14ac:dyDescent="0.35">
      <c r="M1241" s="250">
        <v>1306</v>
      </c>
      <c r="N1241" s="251" t="str">
        <f>IF($R$11&lt;=M1241,IF($R$11&gt;=0,0,""),"")</f>
        <v/>
      </c>
      <c r="O1241" s="251" t="str">
        <f>IF($R$11&lt;=M1241,IF($R$11&gt;=0,0,""),"")</f>
        <v/>
      </c>
      <c r="P1241" s="251" t="str">
        <f>IF($R$11&lt;=M1241,IF($R$11&gt;=0,0,""),"")</f>
        <v/>
      </c>
      <c r="Q1241" s="251" t="str">
        <f>IF($R$11&lt;=M1241,IF($R$11&gt;=0,0,""),"")</f>
        <v/>
      </c>
      <c r="R1241" s="251" t="str">
        <f>IF($R$11&lt;=M1241,IF($R$11&gt;=0,0,""),"")</f>
        <v/>
      </c>
      <c r="S1241" s="251" t="str">
        <f>IF($R$11&lt;=M1241,IF($R$11&gt;=0,0,""),"")</f>
        <v/>
      </c>
      <c r="T1241" s="253"/>
      <c r="U1241" s="254">
        <v>0</v>
      </c>
      <c r="V1241" s="254">
        <v>0</v>
      </c>
      <c r="W1241" s="254">
        <v>0</v>
      </c>
      <c r="X1241" s="254">
        <v>0</v>
      </c>
      <c r="Y1241" s="254">
        <v>0</v>
      </c>
      <c r="Z1241" s="254">
        <v>0</v>
      </c>
    </row>
    <row r="1242" spans="13:26" x14ac:dyDescent="0.35">
      <c r="M1242" s="250">
        <v>1409</v>
      </c>
      <c r="N1242" s="251" t="str">
        <f>IF($R$11&lt;=M1242,IF($R$11&gt;=M1241+0.01,U1242,""),"")</f>
        <v/>
      </c>
      <c r="O1242" s="251" t="str">
        <f>IF($R$11&lt;=M1242,IF($R$11&gt;=M1241+0.01,V1242,""),"")</f>
        <v/>
      </c>
      <c r="P1242" s="251" t="str">
        <f>IF($R$11&lt;=M1242,IF($R$11&gt;=M1241+0.01,W1242,""),"")</f>
        <v/>
      </c>
      <c r="Q1242" s="251" t="str">
        <f>IF($R$11&lt;=M1242,IF($R$11&gt;=M1241+0.01,X1242,""),"")</f>
        <v/>
      </c>
      <c r="R1242" s="251" t="str">
        <f>IF($R$11&lt;=M1242,IF($R$11&gt;=M1241+0.01,Y1242,""),"")</f>
        <v/>
      </c>
      <c r="S1242" s="252" t="str">
        <f>IF($R$11&lt;=M1242,IF($R$11&gt;=M1241+0.01,Z1242,""),"")</f>
        <v/>
      </c>
      <c r="T1242" s="253"/>
      <c r="U1242" s="254">
        <v>1.4E-2</v>
      </c>
      <c r="V1242" s="254">
        <v>0</v>
      </c>
      <c r="W1242" s="254">
        <v>0</v>
      </c>
      <c r="X1242" s="254">
        <v>0</v>
      </c>
      <c r="Y1242" s="254">
        <v>0</v>
      </c>
      <c r="Z1242" s="254">
        <v>0</v>
      </c>
    </row>
    <row r="1243" spans="13:26" x14ac:dyDescent="0.35">
      <c r="M1243" s="250">
        <v>1450</v>
      </c>
      <c r="N1243" s="251" t="str">
        <f>IF($R$11&lt;=M1243,IF($R$11&gt;=M1242+0.01,U1243,""),"")</f>
        <v/>
      </c>
      <c r="O1243" s="251" t="str">
        <f>IF($R$11&lt;=M1243,IF($R$11&gt;=M1242+0.01,V1243,""),"")</f>
        <v/>
      </c>
      <c r="P1243" s="251" t="str">
        <f>IF($R$11&lt;=M1243,IF($R$11&gt;=M1242+0.01,W1243,""),"")</f>
        <v/>
      </c>
      <c r="Q1243" s="251" t="str">
        <f>IF($R$11&lt;=M1243,IF($R$11&gt;=M1242+0.01,X1243,""),"")</f>
        <v/>
      </c>
      <c r="R1243" s="251" t="str">
        <f>IF($R$11&lt;=M1243,IF($R$11&gt;=M1242+0.01,Y1243,""),"")</f>
        <v/>
      </c>
      <c r="S1243" s="252" t="str">
        <f>IF($R$11&lt;=M1243,IF($R$11&gt;=M1242+0.01,Z1243,""),"")</f>
        <v/>
      </c>
      <c r="T1243" s="253"/>
      <c r="U1243" s="254">
        <v>3.6999999999999998E-2</v>
      </c>
      <c r="V1243" s="254">
        <v>2.9000000000000001E-2</v>
      </c>
      <c r="W1243" s="254">
        <v>0</v>
      </c>
      <c r="X1243" s="254">
        <v>0</v>
      </c>
      <c r="Y1243" s="254">
        <v>0</v>
      </c>
      <c r="Z1243" s="254">
        <v>0</v>
      </c>
    </row>
    <row r="1244" spans="13:26" x14ac:dyDescent="0.35">
      <c r="M1244" s="250">
        <v>1634</v>
      </c>
      <c r="N1244" s="251">
        <f>IF($R$11&lt;=M1244,IF($R$11&gt;=M1242+0.01,U1244,""),"")</f>
        <v>4.5999999999999999E-2</v>
      </c>
      <c r="O1244" s="251">
        <f>IF($R$11&lt;=M1244,IF($R$11&gt;=M1242+0.01,V1244,""),"")</f>
        <v>3.9E-2</v>
      </c>
      <c r="P1244" s="251">
        <f>IF($R$11&lt;=M1244,IF($R$11&gt;=M1242+0.01,W1244,""),"")</f>
        <v>0.02</v>
      </c>
      <c r="Q1244" s="251">
        <f>IF($R$11&lt;=M1244,IF($R$11&gt;=M1242+0.01,X1244,""),"")</f>
        <v>0</v>
      </c>
      <c r="R1244" s="251">
        <f>IF($R$11&lt;=M1244,IF($R$11&gt;=M1242+0.01,Y1244,""),"")</f>
        <v>0</v>
      </c>
      <c r="S1244" s="252">
        <f>IF($R$11&lt;=M1244,IF($R$11&gt;=M1242+0.01,Z1244,""),"")</f>
        <v>0</v>
      </c>
      <c r="T1244" s="253"/>
      <c r="U1244" s="254">
        <v>4.5999999999999999E-2</v>
      </c>
      <c r="V1244" s="254">
        <v>3.9E-2</v>
      </c>
      <c r="W1244" s="254">
        <v>0.02</v>
      </c>
      <c r="X1244" s="254">
        <v>0</v>
      </c>
      <c r="Y1244" s="254">
        <v>0</v>
      </c>
      <c r="Z1244" s="254">
        <v>0</v>
      </c>
    </row>
    <row r="1245" spans="13:26" x14ac:dyDescent="0.35">
      <c r="M1245" s="250">
        <v>1950</v>
      </c>
      <c r="N1245" s="251" t="str">
        <f t="shared" ref="N1245:N1269" si="200">IF($R$11&lt;=M1245,IF($R$11&gt;=M1244+0.01,U1245,""),"")</f>
        <v/>
      </c>
      <c r="O1245" s="251" t="str">
        <f t="shared" ref="O1245:O1269" si="201">IF($R$11&lt;=M1245,IF($R$11&gt;=M1244+0.01,V1245,""),"")</f>
        <v/>
      </c>
      <c r="P1245" s="251" t="str">
        <f t="shared" ref="P1245:P1269" si="202">IF($R$11&lt;=M1245,IF($R$11&gt;=M1244+0.01,W1245,""),"")</f>
        <v/>
      </c>
      <c r="Q1245" s="251" t="str">
        <f t="shared" ref="Q1245:Q1269" si="203">IF($R$11&lt;=M1245,IF($R$11&gt;=M1244+0.01,X1245,""),"")</f>
        <v/>
      </c>
      <c r="R1245" s="251" t="str">
        <f t="shared" ref="R1245:R1269" si="204">IF($R$11&lt;=M1245,IF($R$11&gt;=M1244+0.01,Y1245,""),"")</f>
        <v/>
      </c>
      <c r="S1245" s="252" t="str">
        <f t="shared" ref="S1245:S1269" si="205">IF($R$11&lt;=M1245,IF($R$11&gt;=M1244+0.01,Z1245,""),"")</f>
        <v/>
      </c>
      <c r="T1245" s="253"/>
      <c r="U1245" s="254">
        <v>6.6000000000000003E-2</v>
      </c>
      <c r="V1245" s="254">
        <v>5.8999999999999997E-2</v>
      </c>
      <c r="W1245" s="254">
        <v>4.2000000000000003E-2</v>
      </c>
      <c r="X1245" s="254">
        <v>2.4E-2</v>
      </c>
      <c r="Y1245" s="254">
        <v>1.7000000000000001E-2</v>
      </c>
      <c r="Z1245" s="254">
        <v>0</v>
      </c>
    </row>
    <row r="1246" spans="13:26" x14ac:dyDescent="0.35">
      <c r="M1246" s="250">
        <v>2072</v>
      </c>
      <c r="N1246" s="251" t="str">
        <f t="shared" si="200"/>
        <v/>
      </c>
      <c r="O1246" s="251" t="str">
        <f t="shared" si="201"/>
        <v/>
      </c>
      <c r="P1246" s="251" t="str">
        <f t="shared" si="202"/>
        <v/>
      </c>
      <c r="Q1246" s="251" t="str">
        <f t="shared" si="203"/>
        <v/>
      </c>
      <c r="R1246" s="251" t="str">
        <f t="shared" si="204"/>
        <v/>
      </c>
      <c r="S1246" s="252" t="str">
        <f t="shared" si="205"/>
        <v/>
      </c>
      <c r="T1246" s="253"/>
      <c r="U1246" s="254">
        <v>8.1000000000000003E-2</v>
      </c>
      <c r="V1246" s="254">
        <v>7.3999999999999996E-2</v>
      </c>
      <c r="W1246" s="254">
        <v>5.6000000000000001E-2</v>
      </c>
      <c r="X1246" s="254">
        <v>3.9E-2</v>
      </c>
      <c r="Y1246" s="254">
        <v>3.1E-2</v>
      </c>
      <c r="Z1246" s="254">
        <v>2.3E-2</v>
      </c>
    </row>
    <row r="1247" spans="13:26" x14ac:dyDescent="0.35">
      <c r="M1247" s="250">
        <v>2206</v>
      </c>
      <c r="N1247" s="251" t="str">
        <f t="shared" si="200"/>
        <v/>
      </c>
      <c r="O1247" s="251" t="str">
        <f t="shared" si="201"/>
        <v/>
      </c>
      <c r="P1247" s="251" t="str">
        <f t="shared" si="202"/>
        <v/>
      </c>
      <c r="Q1247" s="251" t="str">
        <f t="shared" si="203"/>
        <v/>
      </c>
      <c r="R1247" s="251" t="str">
        <f t="shared" si="204"/>
        <v/>
      </c>
      <c r="S1247" s="252" t="str">
        <f t="shared" si="205"/>
        <v/>
      </c>
      <c r="T1247" s="253"/>
      <c r="U1247" s="254">
        <v>0.1</v>
      </c>
      <c r="V1247" s="254">
        <v>8.4000000000000005E-2</v>
      </c>
      <c r="W1247" s="254">
        <v>7.5999999999999998E-2</v>
      </c>
      <c r="X1247" s="254">
        <v>5.8000000000000003E-2</v>
      </c>
      <c r="Y1247" s="254">
        <v>4.1000000000000002E-2</v>
      </c>
      <c r="Z1247" s="254">
        <v>3.3000000000000002E-2</v>
      </c>
    </row>
    <row r="1248" spans="13:26" x14ac:dyDescent="0.35">
      <c r="M1248" s="250">
        <v>2307</v>
      </c>
      <c r="N1248" s="251" t="str">
        <f t="shared" si="200"/>
        <v/>
      </c>
      <c r="O1248" s="251" t="str">
        <f t="shared" si="201"/>
        <v/>
      </c>
      <c r="P1248" s="251" t="str">
        <f t="shared" si="202"/>
        <v/>
      </c>
      <c r="Q1248" s="251" t="str">
        <f t="shared" si="203"/>
        <v/>
      </c>
      <c r="R1248" s="251" t="str">
        <f t="shared" si="204"/>
        <v/>
      </c>
      <c r="S1248" s="252" t="str">
        <f t="shared" si="205"/>
        <v/>
      </c>
      <c r="T1248" s="253"/>
      <c r="U1248" s="254">
        <v>0.125</v>
      </c>
      <c r="V1248" s="254">
        <v>0.108</v>
      </c>
      <c r="W1248" s="254">
        <v>9.1999999999999998E-2</v>
      </c>
      <c r="X1248" s="254">
        <v>7.3999999999999996E-2</v>
      </c>
      <c r="Y1248" s="254">
        <v>6.5000000000000002E-2</v>
      </c>
      <c r="Z1248" s="254">
        <v>5.7000000000000002E-2</v>
      </c>
    </row>
    <row r="1249" spans="13:26" x14ac:dyDescent="0.35">
      <c r="M1249" s="250">
        <v>2471</v>
      </c>
      <c r="N1249" s="251" t="str">
        <f t="shared" si="200"/>
        <v/>
      </c>
      <c r="O1249" s="251" t="str">
        <f t="shared" si="201"/>
        <v/>
      </c>
      <c r="P1249" s="251" t="str">
        <f t="shared" si="202"/>
        <v/>
      </c>
      <c r="Q1249" s="251" t="str">
        <f t="shared" si="203"/>
        <v/>
      </c>
      <c r="R1249" s="251" t="str">
        <f t="shared" si="204"/>
        <v/>
      </c>
      <c r="S1249" s="252" t="str">
        <f t="shared" si="205"/>
        <v/>
      </c>
      <c r="T1249" s="253"/>
      <c r="U1249" s="254">
        <v>0.14499999999999999</v>
      </c>
      <c r="V1249" s="254">
        <v>0.128</v>
      </c>
      <c r="W1249" s="254">
        <v>0.11</v>
      </c>
      <c r="X1249" s="254">
        <v>9.4E-2</v>
      </c>
      <c r="Y1249" s="254">
        <v>7.5999999999999998E-2</v>
      </c>
      <c r="Z1249" s="254">
        <v>6.7000000000000004E-2</v>
      </c>
    </row>
    <row r="1250" spans="13:26" x14ac:dyDescent="0.35">
      <c r="M1250" s="250">
        <v>2553</v>
      </c>
      <c r="N1250" s="251" t="str">
        <f t="shared" si="200"/>
        <v/>
      </c>
      <c r="O1250" s="251" t="str">
        <f t="shared" si="201"/>
        <v/>
      </c>
      <c r="P1250" s="251" t="str">
        <f t="shared" si="202"/>
        <v/>
      </c>
      <c r="Q1250" s="251" t="str">
        <f t="shared" si="203"/>
        <v/>
      </c>
      <c r="R1250" s="251" t="str">
        <f t="shared" si="204"/>
        <v/>
      </c>
      <c r="S1250" s="252" t="str">
        <f t="shared" si="205"/>
        <v/>
      </c>
      <c r="T1250" s="253"/>
      <c r="U1250" s="254">
        <v>0.154</v>
      </c>
      <c r="V1250" s="254">
        <v>0.13800000000000001</v>
      </c>
      <c r="W1250" s="254">
        <v>0.13</v>
      </c>
      <c r="X1250" s="254">
        <v>0.112</v>
      </c>
      <c r="Y1250" s="254">
        <v>9.6000000000000002E-2</v>
      </c>
      <c r="Z1250" s="254">
        <v>8.7999999999999995E-2</v>
      </c>
    </row>
    <row r="1251" spans="13:26" x14ac:dyDescent="0.35">
      <c r="M1251" s="250">
        <v>2655</v>
      </c>
      <c r="N1251" s="251" t="str">
        <f t="shared" si="200"/>
        <v/>
      </c>
      <c r="O1251" s="251" t="str">
        <f t="shared" si="201"/>
        <v/>
      </c>
      <c r="P1251" s="251" t="str">
        <f t="shared" si="202"/>
        <v/>
      </c>
      <c r="Q1251" s="251" t="str">
        <f t="shared" si="203"/>
        <v/>
      </c>
      <c r="R1251" s="251" t="str">
        <f t="shared" si="204"/>
        <v/>
      </c>
      <c r="S1251" s="252" t="str">
        <f t="shared" si="205"/>
        <v/>
      </c>
      <c r="T1251" s="253"/>
      <c r="U1251" s="254">
        <v>0.16500000000000001</v>
      </c>
      <c r="V1251" s="254">
        <v>0.14799999999999999</v>
      </c>
      <c r="W1251" s="254">
        <v>0.14000000000000001</v>
      </c>
      <c r="X1251" s="254">
        <v>0.122</v>
      </c>
      <c r="Y1251" s="254">
        <v>0.106</v>
      </c>
      <c r="Z1251" s="254">
        <v>9.8000000000000004E-2</v>
      </c>
    </row>
    <row r="1252" spans="13:26" x14ac:dyDescent="0.35">
      <c r="M1252" s="250">
        <v>2920</v>
      </c>
      <c r="N1252" s="251" t="str">
        <f t="shared" si="200"/>
        <v/>
      </c>
      <c r="O1252" s="251" t="str">
        <f t="shared" si="201"/>
        <v/>
      </c>
      <c r="P1252" s="251" t="str">
        <f t="shared" si="202"/>
        <v/>
      </c>
      <c r="Q1252" s="251" t="str">
        <f t="shared" si="203"/>
        <v/>
      </c>
      <c r="R1252" s="251" t="str">
        <f t="shared" si="204"/>
        <v/>
      </c>
      <c r="S1252" s="252" t="str">
        <f t="shared" si="205"/>
        <v/>
      </c>
      <c r="T1252" s="253"/>
      <c r="U1252" s="254">
        <v>0.17499999999999999</v>
      </c>
      <c r="V1252" s="254">
        <v>0.158</v>
      </c>
      <c r="W1252" s="254">
        <v>0.15</v>
      </c>
      <c r="X1252" s="254">
        <v>0.13300000000000001</v>
      </c>
      <c r="Y1252" s="254">
        <v>0.115</v>
      </c>
      <c r="Z1252" s="254">
        <v>0.107</v>
      </c>
    </row>
    <row r="1253" spans="13:26" x14ac:dyDescent="0.35">
      <c r="M1253" s="250">
        <v>3237</v>
      </c>
      <c r="N1253" s="251" t="str">
        <f t="shared" si="200"/>
        <v/>
      </c>
      <c r="O1253" s="251" t="str">
        <f t="shared" si="201"/>
        <v/>
      </c>
      <c r="P1253" s="251" t="str">
        <f t="shared" si="202"/>
        <v/>
      </c>
      <c r="Q1253" s="251" t="str">
        <f t="shared" si="203"/>
        <v/>
      </c>
      <c r="R1253" s="251" t="str">
        <f t="shared" si="204"/>
        <v/>
      </c>
      <c r="S1253" s="252" t="str">
        <f t="shared" si="205"/>
        <v/>
      </c>
      <c r="T1253" s="253"/>
      <c r="U1253" s="254">
        <v>0.188</v>
      </c>
      <c r="V1253" s="254">
        <v>0.17499999999999999</v>
      </c>
      <c r="W1253" s="254">
        <v>0.17100000000000001</v>
      </c>
      <c r="X1253" s="254">
        <v>0.157</v>
      </c>
      <c r="Y1253" s="254">
        <v>0.14299999999999999</v>
      </c>
      <c r="Z1253" s="254">
        <v>0.13900000000000001</v>
      </c>
    </row>
    <row r="1254" spans="13:26" x14ac:dyDescent="0.35">
      <c r="M1254" s="250">
        <v>3574</v>
      </c>
      <c r="N1254" s="251" t="str">
        <f t="shared" si="200"/>
        <v/>
      </c>
      <c r="O1254" s="251" t="str">
        <f t="shared" si="201"/>
        <v/>
      </c>
      <c r="P1254" s="251" t="str">
        <f t="shared" si="202"/>
        <v/>
      </c>
      <c r="Q1254" s="251" t="str">
        <f t="shared" si="203"/>
        <v/>
      </c>
      <c r="R1254" s="251" t="str">
        <f t="shared" si="204"/>
        <v/>
      </c>
      <c r="S1254" s="252" t="str">
        <f t="shared" si="205"/>
        <v/>
      </c>
      <c r="T1254" s="253"/>
      <c r="U1254" s="254">
        <v>0.19900000000000001</v>
      </c>
      <c r="V1254" s="254">
        <v>0.186</v>
      </c>
      <c r="W1254" s="254">
        <v>0.182</v>
      </c>
      <c r="X1254" s="254">
        <v>0.16800000000000001</v>
      </c>
      <c r="Y1254" s="254">
        <v>0.154</v>
      </c>
      <c r="Z1254" s="254">
        <v>0.15</v>
      </c>
    </row>
    <row r="1255" spans="13:26" x14ac:dyDescent="0.35">
      <c r="M1255" s="250">
        <v>3706</v>
      </c>
      <c r="N1255" s="251" t="str">
        <f t="shared" si="200"/>
        <v/>
      </c>
      <c r="O1255" s="251" t="str">
        <f t="shared" si="201"/>
        <v/>
      </c>
      <c r="P1255" s="251" t="str">
        <f t="shared" si="202"/>
        <v/>
      </c>
      <c r="Q1255" s="251" t="str">
        <f t="shared" si="203"/>
        <v/>
      </c>
      <c r="R1255" s="251" t="str">
        <f t="shared" si="204"/>
        <v/>
      </c>
      <c r="S1255" s="252" t="str">
        <f t="shared" si="205"/>
        <v/>
      </c>
      <c r="T1255" s="253"/>
      <c r="U1255" s="254">
        <v>0.20899999999999999</v>
      </c>
      <c r="V1255" s="254">
        <v>0.19800000000000001</v>
      </c>
      <c r="W1255" s="254">
        <v>0.192</v>
      </c>
      <c r="X1255" s="254">
        <v>0.17799999999999999</v>
      </c>
      <c r="Y1255" s="254">
        <v>0.17399999999999999</v>
      </c>
      <c r="Z1255" s="254">
        <v>0.16</v>
      </c>
    </row>
    <row r="1256" spans="13:26" x14ac:dyDescent="0.35">
      <c r="M1256" s="250">
        <v>3921</v>
      </c>
      <c r="N1256" s="251" t="str">
        <f t="shared" si="200"/>
        <v/>
      </c>
      <c r="O1256" s="251" t="str">
        <f t="shared" si="201"/>
        <v/>
      </c>
      <c r="P1256" s="251" t="str">
        <f t="shared" si="202"/>
        <v/>
      </c>
      <c r="Q1256" s="251" t="str">
        <f t="shared" si="203"/>
        <v/>
      </c>
      <c r="R1256" s="251" t="str">
        <f t="shared" si="204"/>
        <v/>
      </c>
      <c r="S1256" s="252" t="str">
        <f t="shared" si="205"/>
        <v/>
      </c>
      <c r="T1256" s="253"/>
      <c r="U1256" s="254">
        <v>0.219</v>
      </c>
      <c r="V1256" s="254">
        <v>0.20799999999999999</v>
      </c>
      <c r="W1256" s="254">
        <v>0.20399999999999999</v>
      </c>
      <c r="X1256" s="254">
        <v>0.188</v>
      </c>
      <c r="Y1256" s="254">
        <v>0.184</v>
      </c>
      <c r="Z1256" s="254">
        <v>0.17</v>
      </c>
    </row>
    <row r="1257" spans="13:26" x14ac:dyDescent="0.35">
      <c r="M1257" s="250">
        <v>4339</v>
      </c>
      <c r="N1257" s="251" t="str">
        <f t="shared" si="200"/>
        <v/>
      </c>
      <c r="O1257" s="251" t="str">
        <f t="shared" si="201"/>
        <v/>
      </c>
      <c r="P1257" s="251" t="str">
        <f t="shared" si="202"/>
        <v/>
      </c>
      <c r="Q1257" s="251" t="str">
        <f t="shared" si="203"/>
        <v/>
      </c>
      <c r="R1257" s="251" t="str">
        <f t="shared" si="204"/>
        <v/>
      </c>
      <c r="S1257" s="252" t="str">
        <f t="shared" si="205"/>
        <v/>
      </c>
      <c r="T1257" s="253"/>
      <c r="U1257" s="254">
        <v>0.23400000000000001</v>
      </c>
      <c r="V1257" s="254">
        <v>0.222</v>
      </c>
      <c r="W1257" s="254">
        <v>0.218</v>
      </c>
      <c r="X1257" s="254">
        <v>0.20499999999999999</v>
      </c>
      <c r="Y1257" s="254">
        <v>0.19900000000000001</v>
      </c>
      <c r="Z1257" s="254">
        <v>0.185</v>
      </c>
    </row>
    <row r="1258" spans="13:26" x14ac:dyDescent="0.35">
      <c r="M1258" s="250">
        <v>4606</v>
      </c>
      <c r="N1258" s="251" t="str">
        <f t="shared" si="200"/>
        <v/>
      </c>
      <c r="O1258" s="251" t="str">
        <f t="shared" si="201"/>
        <v/>
      </c>
      <c r="P1258" s="251" t="str">
        <f t="shared" si="202"/>
        <v/>
      </c>
      <c r="Q1258" s="251" t="str">
        <f t="shared" si="203"/>
        <v/>
      </c>
      <c r="R1258" s="251" t="str">
        <f t="shared" si="204"/>
        <v/>
      </c>
      <c r="S1258" s="252" t="str">
        <f t="shared" si="205"/>
        <v/>
      </c>
      <c r="T1258" s="253"/>
      <c r="U1258" s="254">
        <v>0.24399999999999999</v>
      </c>
      <c r="V1258" s="254">
        <v>0.23200000000000001</v>
      </c>
      <c r="W1258" s="254">
        <v>0.22800000000000001</v>
      </c>
      <c r="X1258" s="254">
        <v>0.215</v>
      </c>
      <c r="Y1258" s="254">
        <v>0.21099999999999999</v>
      </c>
      <c r="Z1258" s="254">
        <v>0.20499999999999999</v>
      </c>
    </row>
    <row r="1259" spans="13:26" x14ac:dyDescent="0.35">
      <c r="M1259" s="250">
        <v>4901</v>
      </c>
      <c r="N1259" s="251" t="str">
        <f t="shared" si="200"/>
        <v/>
      </c>
      <c r="O1259" s="251" t="str">
        <f t="shared" si="201"/>
        <v/>
      </c>
      <c r="P1259" s="251" t="str">
        <f t="shared" si="202"/>
        <v/>
      </c>
      <c r="Q1259" s="251" t="str">
        <f t="shared" si="203"/>
        <v/>
      </c>
      <c r="R1259" s="251" t="str">
        <f t="shared" si="204"/>
        <v/>
      </c>
      <c r="S1259" s="252" t="str">
        <f t="shared" si="205"/>
        <v/>
      </c>
      <c r="T1259" s="253"/>
      <c r="U1259" s="254">
        <v>0.254</v>
      </c>
      <c r="V1259" s="254">
        <v>0.24199999999999999</v>
      </c>
      <c r="W1259" s="254">
        <v>0.23799999999999999</v>
      </c>
      <c r="X1259" s="254">
        <v>0.224</v>
      </c>
      <c r="Y1259" s="254">
        <v>0.22</v>
      </c>
      <c r="Z1259" s="254">
        <v>0.217</v>
      </c>
    </row>
    <row r="1260" spans="13:26" x14ac:dyDescent="0.35">
      <c r="M1260" s="250">
        <v>5188</v>
      </c>
      <c r="N1260" s="251" t="str">
        <f t="shared" si="200"/>
        <v/>
      </c>
      <c r="O1260" s="251" t="str">
        <f t="shared" si="201"/>
        <v/>
      </c>
      <c r="P1260" s="251" t="str">
        <f t="shared" si="202"/>
        <v/>
      </c>
      <c r="Q1260" s="251" t="str">
        <f t="shared" si="203"/>
        <v/>
      </c>
      <c r="R1260" s="251" t="str">
        <f t="shared" si="204"/>
        <v/>
      </c>
      <c r="S1260" s="252" t="str">
        <f t="shared" si="205"/>
        <v/>
      </c>
      <c r="T1260" s="253"/>
      <c r="U1260" s="254">
        <v>0.26400000000000001</v>
      </c>
      <c r="V1260" s="254">
        <v>0.252</v>
      </c>
      <c r="W1260" s="254">
        <v>0.248</v>
      </c>
      <c r="X1260" s="254">
        <v>0.23400000000000001</v>
      </c>
      <c r="Y1260" s="254">
        <v>0.23</v>
      </c>
      <c r="Z1260" s="254">
        <v>0.22600000000000001</v>
      </c>
    </row>
    <row r="1261" spans="13:26" x14ac:dyDescent="0.35">
      <c r="M1261" s="250">
        <v>5617</v>
      </c>
      <c r="N1261" s="251" t="str">
        <f t="shared" si="200"/>
        <v/>
      </c>
      <c r="O1261" s="251" t="str">
        <f t="shared" si="201"/>
        <v/>
      </c>
      <c r="P1261" s="251" t="str">
        <f t="shared" si="202"/>
        <v/>
      </c>
      <c r="Q1261" s="251" t="str">
        <f t="shared" si="203"/>
        <v/>
      </c>
      <c r="R1261" s="251" t="str">
        <f t="shared" si="204"/>
        <v/>
      </c>
      <c r="S1261" s="252" t="str">
        <f t="shared" si="205"/>
        <v/>
      </c>
      <c r="T1261" s="253"/>
      <c r="U1261" s="254">
        <v>0.27400000000000002</v>
      </c>
      <c r="V1261" s="254">
        <v>0.26200000000000001</v>
      </c>
      <c r="W1261" s="254">
        <v>0.25800000000000001</v>
      </c>
      <c r="X1261" s="254">
        <v>0.24399999999999999</v>
      </c>
      <c r="Y1261" s="254">
        <v>0.24</v>
      </c>
      <c r="Z1261" s="254">
        <v>0.23599999999999999</v>
      </c>
    </row>
    <row r="1262" spans="13:26" x14ac:dyDescent="0.35">
      <c r="M1262" s="250">
        <v>6045</v>
      </c>
      <c r="N1262" s="251" t="str">
        <f t="shared" si="200"/>
        <v/>
      </c>
      <c r="O1262" s="251" t="str">
        <f t="shared" si="201"/>
        <v/>
      </c>
      <c r="P1262" s="251" t="str">
        <f t="shared" si="202"/>
        <v/>
      </c>
      <c r="Q1262" s="251" t="str">
        <f t="shared" si="203"/>
        <v/>
      </c>
      <c r="R1262" s="251" t="str">
        <f t="shared" si="204"/>
        <v/>
      </c>
      <c r="S1262" s="252" t="str">
        <f t="shared" si="205"/>
        <v/>
      </c>
      <c r="T1262" s="253"/>
      <c r="U1262" s="254">
        <v>0.28899999999999998</v>
      </c>
      <c r="V1262" s="254">
        <v>0.27700000000000002</v>
      </c>
      <c r="W1262" s="254">
        <v>0.27300000000000002</v>
      </c>
      <c r="X1262" s="254">
        <v>0.25900000000000001</v>
      </c>
      <c r="Y1262" s="254">
        <v>0.255</v>
      </c>
      <c r="Z1262" s="254">
        <v>0.251</v>
      </c>
    </row>
    <row r="1263" spans="13:26" x14ac:dyDescent="0.35">
      <c r="M1263" s="250">
        <v>6747</v>
      </c>
      <c r="N1263" s="251" t="str">
        <f t="shared" si="200"/>
        <v/>
      </c>
      <c r="O1263" s="251" t="str">
        <f t="shared" si="201"/>
        <v/>
      </c>
      <c r="P1263" s="251" t="str">
        <f t="shared" si="202"/>
        <v/>
      </c>
      <c r="Q1263" s="251" t="str">
        <f t="shared" si="203"/>
        <v/>
      </c>
      <c r="R1263" s="251" t="str">
        <f t="shared" si="204"/>
        <v/>
      </c>
      <c r="S1263" s="252" t="str">
        <f t="shared" si="205"/>
        <v/>
      </c>
      <c r="T1263" s="253"/>
      <c r="U1263" s="254">
        <v>0.30499999999999999</v>
      </c>
      <c r="V1263" s="254">
        <v>0.29599999999999999</v>
      </c>
      <c r="W1263" s="254">
        <v>0.29399999999999998</v>
      </c>
      <c r="X1263" s="254">
        <v>0.28199999999999997</v>
      </c>
      <c r="Y1263" s="254">
        <v>0.28000000000000003</v>
      </c>
      <c r="Z1263" s="254">
        <v>0.27800000000000002</v>
      </c>
    </row>
    <row r="1264" spans="13:26" x14ac:dyDescent="0.35">
      <c r="M1264" s="250">
        <v>7214</v>
      </c>
      <c r="N1264" s="251" t="str">
        <f t="shared" si="200"/>
        <v/>
      </c>
      <c r="O1264" s="251" t="str">
        <f t="shared" si="201"/>
        <v/>
      </c>
      <c r="P1264" s="251" t="str">
        <f t="shared" si="202"/>
        <v/>
      </c>
      <c r="Q1264" s="251" t="str">
        <f t="shared" si="203"/>
        <v/>
      </c>
      <c r="R1264" s="251" t="str">
        <f t="shared" si="204"/>
        <v/>
      </c>
      <c r="S1264" s="252" t="str">
        <f t="shared" si="205"/>
        <v/>
      </c>
      <c r="T1264" s="253"/>
      <c r="U1264" s="254">
        <v>0.315</v>
      </c>
      <c r="V1264" s="254">
        <v>0.308</v>
      </c>
      <c r="W1264" s="254">
        <v>0.30399999999999999</v>
      </c>
      <c r="X1264" s="254">
        <v>0.29199999999999998</v>
      </c>
      <c r="Y1264" s="254">
        <v>0.28999999999999998</v>
      </c>
      <c r="Z1264" s="254">
        <v>0.28799999999999998</v>
      </c>
    </row>
    <row r="1265" spans="13:26" x14ac:dyDescent="0.35">
      <c r="M1265" s="250">
        <v>7793</v>
      </c>
      <c r="N1265" s="251" t="str">
        <f t="shared" si="200"/>
        <v/>
      </c>
      <c r="O1265" s="251" t="str">
        <f t="shared" si="201"/>
        <v/>
      </c>
      <c r="P1265" s="251" t="str">
        <f t="shared" si="202"/>
        <v/>
      </c>
      <c r="Q1265" s="251" t="str">
        <f t="shared" si="203"/>
        <v/>
      </c>
      <c r="R1265" s="251" t="str">
        <f t="shared" si="204"/>
        <v/>
      </c>
      <c r="S1265" s="252" t="str">
        <f t="shared" si="205"/>
        <v/>
      </c>
      <c r="T1265" s="253"/>
      <c r="U1265" s="254">
        <v>0.32500000000000001</v>
      </c>
      <c r="V1265" s="254">
        <v>0.318</v>
      </c>
      <c r="W1265" s="254">
        <v>0.316</v>
      </c>
      <c r="X1265" s="254">
        <v>0.30199999999999999</v>
      </c>
      <c r="Y1265" s="254">
        <v>0.3</v>
      </c>
      <c r="Z1265" s="254">
        <v>0.29799999999999999</v>
      </c>
    </row>
    <row r="1266" spans="13:26" x14ac:dyDescent="0.35">
      <c r="M1266" s="250">
        <v>8474</v>
      </c>
      <c r="N1266" s="251" t="str">
        <f t="shared" si="200"/>
        <v/>
      </c>
      <c r="O1266" s="251" t="str">
        <f t="shared" si="201"/>
        <v/>
      </c>
      <c r="P1266" s="251" t="str">
        <f t="shared" si="202"/>
        <v/>
      </c>
      <c r="Q1266" s="251" t="str">
        <f t="shared" si="203"/>
        <v/>
      </c>
      <c r="R1266" s="251" t="str">
        <f t="shared" si="204"/>
        <v/>
      </c>
      <c r="S1266" s="252" t="str">
        <f t="shared" si="205"/>
        <v/>
      </c>
      <c r="T1266" s="253"/>
      <c r="U1266" s="254">
        <v>0.33500000000000002</v>
      </c>
      <c r="V1266" s="254">
        <v>0.32800000000000001</v>
      </c>
      <c r="W1266" s="254">
        <v>0.32600000000000001</v>
      </c>
      <c r="X1266" s="254">
        <v>0.314</v>
      </c>
      <c r="Y1266" s="254">
        <v>0.31</v>
      </c>
      <c r="Z1266" s="254">
        <v>0.308</v>
      </c>
    </row>
    <row r="1267" spans="13:26" x14ac:dyDescent="0.35">
      <c r="M1267" s="250">
        <v>9256</v>
      </c>
      <c r="N1267" s="251" t="str">
        <f t="shared" si="200"/>
        <v/>
      </c>
      <c r="O1267" s="251" t="str">
        <f t="shared" si="201"/>
        <v/>
      </c>
      <c r="P1267" s="251" t="str">
        <f t="shared" si="202"/>
        <v/>
      </c>
      <c r="Q1267" s="251" t="str">
        <f t="shared" si="203"/>
        <v/>
      </c>
      <c r="R1267" s="251" t="str">
        <f t="shared" si="204"/>
        <v/>
      </c>
      <c r="S1267" s="252" t="str">
        <f t="shared" si="205"/>
        <v/>
      </c>
      <c r="T1267" s="253"/>
      <c r="U1267" s="254">
        <v>0.34499999999999997</v>
      </c>
      <c r="V1267" s="254">
        <v>0.33800000000000002</v>
      </c>
      <c r="W1267" s="254">
        <v>0.33600000000000002</v>
      </c>
      <c r="X1267" s="254">
        <v>0.32400000000000001</v>
      </c>
      <c r="Y1267" s="254">
        <v>0.32200000000000001</v>
      </c>
      <c r="Z1267" s="254">
        <v>0.318</v>
      </c>
    </row>
    <row r="1268" spans="13:26" x14ac:dyDescent="0.35">
      <c r="M1268" s="250">
        <v>9988</v>
      </c>
      <c r="N1268" s="251" t="str">
        <f t="shared" si="200"/>
        <v/>
      </c>
      <c r="O1268" s="251" t="str">
        <f t="shared" si="201"/>
        <v/>
      </c>
      <c r="P1268" s="251" t="str">
        <f t="shared" si="202"/>
        <v/>
      </c>
      <c r="Q1268" s="251" t="str">
        <f t="shared" si="203"/>
        <v/>
      </c>
      <c r="R1268" s="251" t="str">
        <f t="shared" si="204"/>
        <v/>
      </c>
      <c r="S1268" s="252" t="str">
        <f t="shared" si="205"/>
        <v/>
      </c>
      <c r="T1268" s="253"/>
      <c r="U1268" s="254">
        <v>0.36</v>
      </c>
      <c r="V1268" s="254">
        <v>0.35299999999999998</v>
      </c>
      <c r="W1268" s="254">
        <v>0.35099999999999998</v>
      </c>
      <c r="X1268" s="254">
        <v>0.33900000000000002</v>
      </c>
      <c r="Y1268" s="254">
        <v>0.33700000000000002</v>
      </c>
      <c r="Z1268" s="254">
        <v>0.33500000000000002</v>
      </c>
    </row>
    <row r="1269" spans="13:26" x14ac:dyDescent="0.35">
      <c r="M1269" s="250">
        <v>12497</v>
      </c>
      <c r="N1269" s="251" t="str">
        <f t="shared" si="200"/>
        <v/>
      </c>
      <c r="O1269" s="251" t="str">
        <f t="shared" si="201"/>
        <v/>
      </c>
      <c r="P1269" s="251" t="str">
        <f t="shared" si="202"/>
        <v/>
      </c>
      <c r="Q1269" s="251" t="str">
        <f t="shared" si="203"/>
        <v/>
      </c>
      <c r="R1269" s="251" t="str">
        <f t="shared" si="204"/>
        <v/>
      </c>
      <c r="S1269" s="252" t="str">
        <f t="shared" si="205"/>
        <v/>
      </c>
      <c r="T1269" s="253"/>
      <c r="U1269" s="254">
        <v>0.37</v>
      </c>
      <c r="V1269" s="254">
        <v>0.36299999999999999</v>
      </c>
      <c r="W1269" s="254">
        <v>0.36099999999999999</v>
      </c>
      <c r="X1269" s="254">
        <v>0.34899999999999998</v>
      </c>
      <c r="Y1269" s="254">
        <v>0.34699999999999998</v>
      </c>
      <c r="Z1269" s="254">
        <v>0.34499999999999997</v>
      </c>
    </row>
    <row r="1270" spans="13:26" x14ac:dyDescent="0.35">
      <c r="M1270" s="250">
        <v>12497</v>
      </c>
      <c r="N1270" s="251" t="str">
        <f>IF($R$11&gt;=M1269+0.01,U1270,"")</f>
        <v/>
      </c>
      <c r="O1270" s="251" t="str">
        <f>IF($R$11&gt;=M1269,V1270,"")</f>
        <v/>
      </c>
      <c r="P1270" s="251" t="str">
        <f>IF($R$11&gt;=M1269,W1270,"")</f>
        <v/>
      </c>
      <c r="Q1270" s="251" t="str">
        <f>IF($R$11&gt;=M1269,X1270,"")</f>
        <v/>
      </c>
      <c r="R1270" s="252" t="str">
        <f>IF($R$11&gt;=M1269,Y1270,"")</f>
        <v/>
      </c>
      <c r="S1270" s="251" t="str">
        <f>IF($R$11&gt;=M1269,Z1270,"")</f>
        <v/>
      </c>
      <c r="T1270" s="253"/>
      <c r="U1270" s="254">
        <v>0.38</v>
      </c>
      <c r="V1270" s="254">
        <v>0.373</v>
      </c>
      <c r="W1270" s="254">
        <v>0.371</v>
      </c>
      <c r="X1270" s="254">
        <v>0.35899999999999999</v>
      </c>
      <c r="Y1270" s="254">
        <v>0.35699999999999998</v>
      </c>
      <c r="Z1270" s="254">
        <v>0.35499999999999998</v>
      </c>
    </row>
    <row r="1271" spans="13:26" x14ac:dyDescent="0.35">
      <c r="M1271" s="249"/>
      <c r="N1271" s="257" t="str">
        <f>IF($A$15=3,IF($A$2=12,IF($I$2=0,SUM(N1241:N1270),""),""),"")</f>
        <v/>
      </c>
      <c r="O1271" s="258" t="str">
        <f>IF($A$15=3,IF($A$2=12,IF($I$2=1,SUM(O1241:O1270),""),""),"")</f>
        <v/>
      </c>
      <c r="P1271" s="258" t="str">
        <f>IF($A$15=3,IF($A$2=12,IF($I$2=2,SUM(P1241:P1270),""),""),"")</f>
        <v/>
      </c>
      <c r="Q1271" s="258" t="str">
        <f>IF($A$15=3,IF($A$2=12,IF($I$2=3,SUM(Q1241:Q1270),""),""),"")</f>
        <v/>
      </c>
      <c r="R1271" s="258" t="str">
        <f>IF($A$15=3,IF($A$2=12,IF($I$2=4,SUM(R1241:R1270),""),""),"")</f>
        <v/>
      </c>
      <c r="S1271" s="259" t="str">
        <f>IF($A$15=3,IF($A$2=12,IF($I$2=5,SUM(S1241:S1270),""),""),"")</f>
        <v/>
      </c>
      <c r="T1271" s="260">
        <f>SUM(N1271:S1271)</f>
        <v>0</v>
      </c>
      <c r="U1271" s="253"/>
      <c r="V1271" s="253"/>
      <c r="W1271" s="253"/>
      <c r="X1271" s="253"/>
      <c r="Y1271" s="253"/>
      <c r="Z1271" s="253"/>
    </row>
    <row r="1272" spans="13:26" x14ac:dyDescent="0.35">
      <c r="M1272" s="249"/>
      <c r="N1272" s="249"/>
      <c r="O1272" s="249"/>
      <c r="P1272" s="261"/>
      <c r="Q1272" s="249"/>
      <c r="R1272" s="261"/>
      <c r="S1272" s="249"/>
      <c r="T1272" s="249"/>
      <c r="U1272" s="253"/>
      <c r="V1272" s="253"/>
      <c r="W1272" s="253"/>
      <c r="X1272" s="253"/>
      <c r="Y1272" s="253"/>
      <c r="Z1272" s="253"/>
    </row>
    <row r="1273" spans="13:26" x14ac:dyDescent="0.35">
      <c r="M1273" s="266"/>
      <c r="N1273" s="266"/>
      <c r="O1273" s="266"/>
      <c r="P1273" s="295"/>
      <c r="Q1273" s="266"/>
      <c r="R1273" s="264"/>
      <c r="S1273" s="264"/>
      <c r="T1273" s="294"/>
      <c r="U1273" s="253"/>
      <c r="V1273" s="253"/>
      <c r="W1273" s="253"/>
      <c r="X1273" s="253"/>
      <c r="Y1273" s="253"/>
      <c r="Z1273" s="253"/>
    </row>
    <row r="1274" spans="13:26" x14ac:dyDescent="0.35">
      <c r="M1274" s="294"/>
      <c r="N1274" s="294"/>
      <c r="O1274" s="296"/>
      <c r="P1274" s="296"/>
      <c r="Q1274" s="296"/>
      <c r="R1274" s="294"/>
      <c r="S1274" s="294"/>
      <c r="T1274" s="294"/>
      <c r="U1274" s="253"/>
      <c r="V1274" s="253"/>
      <c r="W1274" s="253"/>
      <c r="X1274" s="253"/>
      <c r="Y1274" s="253"/>
      <c r="Z1274" s="253"/>
    </row>
    <row r="1275" spans="13:26" x14ac:dyDescent="0.35">
      <c r="M1275" s="294"/>
      <c r="N1275" s="294"/>
      <c r="O1275" s="266"/>
      <c r="P1275" s="294"/>
      <c r="Q1275" s="294"/>
      <c r="R1275" s="294"/>
      <c r="S1275" s="294"/>
      <c r="T1275" s="294"/>
      <c r="U1275" s="253"/>
      <c r="V1275" s="253"/>
      <c r="W1275" s="253"/>
      <c r="X1275" s="253"/>
      <c r="Y1275" s="253"/>
      <c r="Z1275" s="253"/>
    </row>
    <row r="1276" spans="13:26" x14ac:dyDescent="0.35">
      <c r="M1276" s="294"/>
      <c r="N1276" s="294"/>
      <c r="O1276" s="266"/>
      <c r="P1276" s="294"/>
      <c r="Q1276" s="294"/>
      <c r="R1276" s="294"/>
      <c r="S1276" s="294"/>
      <c r="T1276" s="294"/>
      <c r="U1276" s="253"/>
      <c r="V1276" s="253"/>
      <c r="W1276" s="253"/>
      <c r="X1276" s="253"/>
      <c r="Y1276" s="253"/>
      <c r="Z1276" s="253"/>
    </row>
    <row r="1277" spans="13:26" x14ac:dyDescent="0.35">
      <c r="M1277" s="263" t="s">
        <v>147</v>
      </c>
      <c r="N1277" s="272"/>
      <c r="O1277" s="273" t="s">
        <v>181</v>
      </c>
      <c r="P1277" s="283"/>
      <c r="Q1277" s="273"/>
      <c r="R1277" s="273"/>
      <c r="S1277" s="273"/>
      <c r="T1277" s="253"/>
      <c r="U1277" s="275" t="str">
        <f>O1277</f>
        <v>Tabelas de IRS de retenção na fonte referente a 2018 nos Açores</v>
      </c>
      <c r="V1277" s="253"/>
      <c r="W1277" s="253"/>
      <c r="X1277" s="253"/>
      <c r="Y1277" s="253"/>
      <c r="Z1277" s="253"/>
    </row>
    <row r="1278" spans="13:26" x14ac:dyDescent="0.35">
      <c r="M1278" s="297"/>
      <c r="N1278" s="273"/>
      <c r="O1278" s="273" t="s">
        <v>204</v>
      </c>
      <c r="P1278" s="297"/>
      <c r="Q1278" s="273"/>
      <c r="R1278" s="273"/>
      <c r="S1278" s="297"/>
      <c r="T1278" s="253"/>
      <c r="U1278" s="275"/>
      <c r="V1278" s="253"/>
      <c r="W1278" s="253"/>
      <c r="X1278" s="253"/>
      <c r="Y1278" s="253"/>
      <c r="Z1278" s="253"/>
    </row>
    <row r="1279" spans="13:26" x14ac:dyDescent="0.35">
      <c r="M1279" s="273"/>
      <c r="N1279" s="273"/>
      <c r="O1279" s="273" t="s">
        <v>152</v>
      </c>
      <c r="P1279" s="297"/>
      <c r="Q1279" s="273"/>
      <c r="R1279" s="273"/>
      <c r="S1279" s="297"/>
      <c r="T1279" s="253"/>
      <c r="U1279" s="275" t="str">
        <f>O1279</f>
        <v>NÃO CASADO</v>
      </c>
      <c r="V1279" s="253"/>
      <c r="W1279" s="253"/>
      <c r="X1279" s="253"/>
      <c r="Y1279" s="253"/>
      <c r="Z1279" s="253"/>
    </row>
    <row r="1280" spans="13:26" x14ac:dyDescent="0.35">
      <c r="M1280" s="267" t="s">
        <v>154</v>
      </c>
      <c r="N1280" s="268" t="s">
        <v>155</v>
      </c>
      <c r="O1280" s="268" t="s">
        <v>156</v>
      </c>
      <c r="P1280" s="268" t="s">
        <v>157</v>
      </c>
      <c r="Q1280" s="268" t="s">
        <v>158</v>
      </c>
      <c r="R1280" s="268" t="s">
        <v>159</v>
      </c>
      <c r="S1280" s="268" t="s">
        <v>160</v>
      </c>
      <c r="T1280" s="253"/>
      <c r="U1280" s="269" t="str">
        <f t="shared" ref="U1280:Z1280" si="206">N1280</f>
        <v>0 dep</v>
      </c>
      <c r="V1280" s="269" t="str">
        <f t="shared" si="206"/>
        <v>1 dep</v>
      </c>
      <c r="W1280" s="269" t="str">
        <f t="shared" si="206"/>
        <v>2 dep</v>
      </c>
      <c r="X1280" s="269" t="str">
        <f t="shared" si="206"/>
        <v>3 dep</v>
      </c>
      <c r="Y1280" s="269" t="str">
        <f t="shared" si="206"/>
        <v>4 dep</v>
      </c>
      <c r="Z1280" s="269" t="str">
        <f t="shared" si="206"/>
        <v>5 dep. ou +</v>
      </c>
    </row>
    <row r="1281" spans="13:26" x14ac:dyDescent="0.35">
      <c r="M1281" s="250">
        <v>632</v>
      </c>
      <c r="N1281" s="251" t="str">
        <f>IF($R$11&lt;=M1281,IF($R$11&gt;=0,0,""),"")</f>
        <v/>
      </c>
      <c r="O1281" s="251" t="str">
        <f>IF($R$11&lt;=M1281,IF($R$11&gt;=0,0,""),"")</f>
        <v/>
      </c>
      <c r="P1281" s="251" t="str">
        <f>IF($R$11&lt;=M1281,IF($R$11&gt;=0,0,""),"")</f>
        <v/>
      </c>
      <c r="Q1281" s="251" t="str">
        <f>IF($R$11&lt;=M1281,IF($R$11&gt;=0,0,""),"")</f>
        <v/>
      </c>
      <c r="R1281" s="251" t="str">
        <f>IF($R$11&lt;=M1281,IF($R$11&gt;=0,0,""),"")</f>
        <v/>
      </c>
      <c r="S1281" s="251" t="str">
        <f>IF($R$11&lt;=M1281,IF($R$11&gt;=0,0,""),"")</f>
        <v/>
      </c>
      <c r="T1281" s="253"/>
      <c r="U1281" s="298">
        <v>0</v>
      </c>
      <c r="V1281" s="298">
        <v>0</v>
      </c>
      <c r="W1281" s="298">
        <v>0</v>
      </c>
      <c r="X1281" s="298">
        <v>0</v>
      </c>
      <c r="Y1281" s="298">
        <v>0</v>
      </c>
      <c r="Z1281" s="298">
        <v>0</v>
      </c>
    </row>
    <row r="1282" spans="13:26" x14ac:dyDescent="0.35">
      <c r="M1282" s="250">
        <v>645</v>
      </c>
      <c r="N1282" s="251" t="str">
        <f t="shared" ref="N1282:N1317" si="207">IF($R$11&lt;=M1282,IF($R$11&gt;=M1281+0.01,U1282,""),"")</f>
        <v/>
      </c>
      <c r="O1282" s="251" t="str">
        <f t="shared" ref="O1282:O1317" si="208">IF($R$11&lt;=M1282,IF($R$11&gt;=M1281+0.01,V1282,""),"")</f>
        <v/>
      </c>
      <c r="P1282" s="251" t="str">
        <f t="shared" ref="P1282:P1317" si="209">IF($R$11&lt;=M1282,IF($R$11&gt;=M1281+0.01,W1282,""),"")</f>
        <v/>
      </c>
      <c r="Q1282" s="251" t="str">
        <f t="shared" ref="Q1282:Q1317" si="210">IF($R$11&lt;=M1282,IF($R$11&gt;=M1281+0.01,X1282,""),"")</f>
        <v/>
      </c>
      <c r="R1282" s="251" t="str">
        <f t="shared" ref="R1282:R1317" si="211">IF($R$11&lt;=M1282,IF($R$11&gt;=M1281+0.01,Y1282,""),"")</f>
        <v/>
      </c>
      <c r="S1282" s="252" t="str">
        <f t="shared" ref="S1282:S1317" si="212">IF($R$11&lt;=M1282,IF($R$11&gt;=M1281+0.01,Z1282,""),"")</f>
        <v/>
      </c>
      <c r="T1282" s="253"/>
      <c r="U1282" s="298">
        <v>2.1000000000000001E-2</v>
      </c>
      <c r="V1282" s="298">
        <v>0</v>
      </c>
      <c r="W1282" s="298">
        <v>0</v>
      </c>
      <c r="X1282" s="298">
        <v>0</v>
      </c>
      <c r="Y1282" s="298">
        <v>0</v>
      </c>
      <c r="Z1282" s="298">
        <v>0</v>
      </c>
    </row>
    <row r="1283" spans="13:26" x14ac:dyDescent="0.35">
      <c r="M1283" s="250">
        <v>683</v>
      </c>
      <c r="N1283" s="251" t="str">
        <f t="shared" si="207"/>
        <v/>
      </c>
      <c r="O1283" s="251" t="str">
        <f t="shared" si="208"/>
        <v/>
      </c>
      <c r="P1283" s="251" t="str">
        <f t="shared" si="209"/>
        <v/>
      </c>
      <c r="Q1283" s="251" t="str">
        <f t="shared" si="210"/>
        <v/>
      </c>
      <c r="R1283" s="251" t="str">
        <f t="shared" si="211"/>
        <v/>
      </c>
      <c r="S1283" s="252" t="str">
        <f t="shared" si="212"/>
        <v/>
      </c>
      <c r="T1283" s="253"/>
      <c r="U1283" s="298">
        <v>0.04</v>
      </c>
      <c r="V1283" s="298">
        <v>8.9999999999999993E-3</v>
      </c>
      <c r="W1283" s="298">
        <v>0</v>
      </c>
      <c r="X1283" s="298">
        <v>0</v>
      </c>
      <c r="Y1283" s="298">
        <v>0</v>
      </c>
      <c r="Z1283" s="298">
        <v>0</v>
      </c>
    </row>
    <row r="1284" spans="13:26" x14ac:dyDescent="0.35">
      <c r="M1284" s="250">
        <v>736</v>
      </c>
      <c r="N1284" s="251" t="str">
        <f t="shared" si="207"/>
        <v/>
      </c>
      <c r="O1284" s="251" t="str">
        <f t="shared" si="208"/>
        <v/>
      </c>
      <c r="P1284" s="251" t="str">
        <f t="shared" si="209"/>
        <v/>
      </c>
      <c r="Q1284" s="251" t="str">
        <f t="shared" si="210"/>
        <v/>
      </c>
      <c r="R1284" s="251" t="str">
        <f t="shared" si="211"/>
        <v/>
      </c>
      <c r="S1284" s="252" t="str">
        <f t="shared" si="212"/>
        <v/>
      </c>
      <c r="T1284" s="253"/>
      <c r="U1284" s="298">
        <v>5.2999999999999999E-2</v>
      </c>
      <c r="V1284" s="298">
        <v>0.02</v>
      </c>
      <c r="W1284" s="298">
        <v>2E-3</v>
      </c>
      <c r="X1284" s="298">
        <v>0</v>
      </c>
      <c r="Y1284" s="298">
        <v>0</v>
      </c>
      <c r="Z1284" s="298">
        <v>0</v>
      </c>
    </row>
    <row r="1285" spans="13:26" x14ac:dyDescent="0.35">
      <c r="M1285" s="250">
        <v>811</v>
      </c>
      <c r="N1285" s="251" t="str">
        <f t="shared" si="207"/>
        <v/>
      </c>
      <c r="O1285" s="251" t="str">
        <f t="shared" si="208"/>
        <v/>
      </c>
      <c r="P1285" s="251" t="str">
        <f t="shared" si="209"/>
        <v/>
      </c>
      <c r="Q1285" s="251" t="str">
        <f t="shared" si="210"/>
        <v/>
      </c>
      <c r="R1285" s="251" t="str">
        <f t="shared" si="211"/>
        <v/>
      </c>
      <c r="S1285" s="252" t="str">
        <f t="shared" si="212"/>
        <v/>
      </c>
      <c r="T1285" s="253"/>
      <c r="U1285" s="298">
        <v>5.8999999999999997E-2</v>
      </c>
      <c r="V1285" s="298">
        <v>3.4000000000000002E-2</v>
      </c>
      <c r="W1285" s="298">
        <v>8.0000000000000002E-3</v>
      </c>
      <c r="X1285" s="298">
        <v>0</v>
      </c>
      <c r="Y1285" s="298">
        <v>0</v>
      </c>
      <c r="Z1285" s="298">
        <v>0</v>
      </c>
    </row>
    <row r="1286" spans="13:26" x14ac:dyDescent="0.35">
      <c r="M1286" s="250">
        <v>919</v>
      </c>
      <c r="N1286" s="251" t="str">
        <f t="shared" si="207"/>
        <v/>
      </c>
      <c r="O1286" s="251" t="str">
        <f t="shared" si="208"/>
        <v/>
      </c>
      <c r="P1286" s="251" t="str">
        <f t="shared" si="209"/>
        <v/>
      </c>
      <c r="Q1286" s="251" t="str">
        <f t="shared" si="210"/>
        <v/>
      </c>
      <c r="R1286" s="251" t="str">
        <f t="shared" si="211"/>
        <v/>
      </c>
      <c r="S1286" s="252" t="str">
        <f t="shared" si="212"/>
        <v/>
      </c>
      <c r="T1286" s="253"/>
      <c r="U1286" s="298">
        <v>7.3999999999999996E-2</v>
      </c>
      <c r="V1286" s="298">
        <v>0.05</v>
      </c>
      <c r="W1286" s="298">
        <v>2.5999999999999999E-2</v>
      </c>
      <c r="X1286" s="298">
        <v>1E-3</v>
      </c>
      <c r="Y1286" s="298">
        <v>0</v>
      </c>
      <c r="Z1286" s="298">
        <v>0</v>
      </c>
    </row>
    <row r="1287" spans="13:26" x14ac:dyDescent="0.35">
      <c r="M1287" s="250">
        <v>1001</v>
      </c>
      <c r="N1287" s="251" t="str">
        <f t="shared" si="207"/>
        <v/>
      </c>
      <c r="O1287" s="251" t="str">
        <f t="shared" si="208"/>
        <v/>
      </c>
      <c r="P1287" s="251" t="str">
        <f t="shared" si="209"/>
        <v/>
      </c>
      <c r="Q1287" s="251" t="str">
        <f t="shared" si="210"/>
        <v/>
      </c>
      <c r="R1287" s="251" t="str">
        <f t="shared" si="211"/>
        <v/>
      </c>
      <c r="S1287" s="252" t="str">
        <f t="shared" si="212"/>
        <v/>
      </c>
      <c r="T1287" s="253"/>
      <c r="U1287" s="298">
        <v>8.3000000000000004E-2</v>
      </c>
      <c r="V1287" s="298">
        <v>5.8999999999999997E-2</v>
      </c>
      <c r="W1287" s="298">
        <v>4.2000000000000003E-2</v>
      </c>
      <c r="X1287" s="298">
        <v>1.0999999999999999E-2</v>
      </c>
      <c r="Y1287" s="298">
        <v>0</v>
      </c>
      <c r="Z1287" s="298">
        <v>0</v>
      </c>
    </row>
    <row r="1288" spans="13:26" x14ac:dyDescent="0.35">
      <c r="M1288" s="250">
        <v>1061</v>
      </c>
      <c r="N1288" s="251" t="str">
        <f t="shared" si="207"/>
        <v/>
      </c>
      <c r="O1288" s="251" t="str">
        <f t="shared" si="208"/>
        <v/>
      </c>
      <c r="P1288" s="251" t="str">
        <f t="shared" si="209"/>
        <v/>
      </c>
      <c r="Q1288" s="251" t="str">
        <f t="shared" si="210"/>
        <v/>
      </c>
      <c r="R1288" s="251" t="str">
        <f t="shared" si="211"/>
        <v/>
      </c>
      <c r="S1288" s="252" t="str">
        <f t="shared" si="212"/>
        <v/>
      </c>
      <c r="T1288" s="253"/>
      <c r="U1288" s="298">
        <v>9.2999999999999999E-2</v>
      </c>
      <c r="V1288" s="298">
        <v>6.8000000000000005E-2</v>
      </c>
      <c r="W1288" s="298">
        <v>0.05</v>
      </c>
      <c r="X1288" s="298">
        <v>2.5999999999999999E-2</v>
      </c>
      <c r="Y1288" s="298">
        <v>0</v>
      </c>
      <c r="Z1288" s="298">
        <v>0</v>
      </c>
    </row>
    <row r="1289" spans="13:26" x14ac:dyDescent="0.35">
      <c r="M1289" s="250">
        <v>1139</v>
      </c>
      <c r="N1289" s="251" t="str">
        <f t="shared" si="207"/>
        <v/>
      </c>
      <c r="O1289" s="251" t="str">
        <f t="shared" si="208"/>
        <v/>
      </c>
      <c r="P1289" s="251" t="str">
        <f t="shared" si="209"/>
        <v/>
      </c>
      <c r="Q1289" s="251" t="str">
        <f t="shared" si="210"/>
        <v/>
      </c>
      <c r="R1289" s="251" t="str">
        <f t="shared" si="211"/>
        <v/>
      </c>
      <c r="S1289" s="252" t="str">
        <f t="shared" si="212"/>
        <v/>
      </c>
      <c r="T1289" s="253"/>
      <c r="U1289" s="298">
        <v>0.10100000000000001</v>
      </c>
      <c r="V1289" s="298">
        <v>8.2000000000000003E-2</v>
      </c>
      <c r="W1289" s="298">
        <v>6.4000000000000001E-2</v>
      </c>
      <c r="X1289" s="298">
        <v>3.9E-2</v>
      </c>
      <c r="Y1289" s="298">
        <v>2.1000000000000001E-2</v>
      </c>
      <c r="Z1289" s="298">
        <v>3.0000000000000001E-3</v>
      </c>
    </row>
    <row r="1290" spans="13:26" x14ac:dyDescent="0.35">
      <c r="M1290" s="250">
        <v>1221</v>
      </c>
      <c r="N1290" s="251" t="str">
        <f t="shared" si="207"/>
        <v/>
      </c>
      <c r="O1290" s="251" t="str">
        <f t="shared" si="208"/>
        <v/>
      </c>
      <c r="P1290" s="251" t="str">
        <f t="shared" si="209"/>
        <v/>
      </c>
      <c r="Q1290" s="251" t="str">
        <f t="shared" si="210"/>
        <v/>
      </c>
      <c r="R1290" s="251" t="str">
        <f t="shared" si="211"/>
        <v/>
      </c>
      <c r="S1290" s="252" t="str">
        <f t="shared" si="212"/>
        <v/>
      </c>
      <c r="T1290" s="253"/>
      <c r="U1290" s="298">
        <v>0.108</v>
      </c>
      <c r="V1290" s="298">
        <v>0.09</v>
      </c>
      <c r="W1290" s="298">
        <v>7.1999999999999995E-2</v>
      </c>
      <c r="X1290" s="298">
        <v>4.7E-2</v>
      </c>
      <c r="Y1290" s="298">
        <v>2.8000000000000001E-2</v>
      </c>
      <c r="Z1290" s="298">
        <v>0.01</v>
      </c>
    </row>
    <row r="1291" spans="13:26" x14ac:dyDescent="0.35">
      <c r="M1291" s="250">
        <v>1317</v>
      </c>
      <c r="N1291" s="251" t="str">
        <f t="shared" si="207"/>
        <v/>
      </c>
      <c r="O1291" s="251" t="str">
        <f t="shared" si="208"/>
        <v/>
      </c>
      <c r="P1291" s="251" t="str">
        <f t="shared" si="209"/>
        <v/>
      </c>
      <c r="Q1291" s="251" t="str">
        <f t="shared" si="210"/>
        <v/>
      </c>
      <c r="R1291" s="251" t="str">
        <f t="shared" si="211"/>
        <v/>
      </c>
      <c r="S1291" s="252" t="str">
        <f t="shared" si="212"/>
        <v/>
      </c>
      <c r="T1291" s="253"/>
      <c r="U1291" s="298">
        <v>0.11600000000000001</v>
      </c>
      <c r="V1291" s="298">
        <v>9.9000000000000005E-2</v>
      </c>
      <c r="W1291" s="298">
        <v>0.08</v>
      </c>
      <c r="X1291" s="298">
        <v>5.3999999999999999E-2</v>
      </c>
      <c r="Y1291" s="298">
        <v>3.5999999999999997E-2</v>
      </c>
      <c r="Z1291" s="298">
        <v>1.7999999999999999E-2</v>
      </c>
    </row>
    <row r="1292" spans="13:26" x14ac:dyDescent="0.35">
      <c r="M1292" s="250">
        <v>1419</v>
      </c>
      <c r="N1292" s="251" t="str">
        <f t="shared" si="207"/>
        <v/>
      </c>
      <c r="O1292" s="251" t="str">
        <f t="shared" si="208"/>
        <v/>
      </c>
      <c r="P1292" s="251" t="str">
        <f t="shared" si="209"/>
        <v/>
      </c>
      <c r="Q1292" s="251" t="str">
        <f t="shared" si="210"/>
        <v/>
      </c>
      <c r="R1292" s="251" t="str">
        <f t="shared" si="211"/>
        <v/>
      </c>
      <c r="S1292" s="252" t="str">
        <f t="shared" si="212"/>
        <v/>
      </c>
      <c r="T1292" s="253"/>
      <c r="U1292" s="298">
        <v>0.123</v>
      </c>
      <c r="V1292" s="298">
        <v>0.106</v>
      </c>
      <c r="W1292" s="298">
        <v>8.7999999999999995E-2</v>
      </c>
      <c r="X1292" s="298">
        <v>6.2E-2</v>
      </c>
      <c r="Y1292" s="298">
        <v>0.05</v>
      </c>
      <c r="Z1292" s="298">
        <v>3.1E-2</v>
      </c>
    </row>
    <row r="1293" spans="13:26" x14ac:dyDescent="0.35">
      <c r="M1293" s="250">
        <v>1557</v>
      </c>
      <c r="N1293" s="251" t="str">
        <f t="shared" si="207"/>
        <v/>
      </c>
      <c r="O1293" s="251" t="str">
        <f t="shared" si="208"/>
        <v/>
      </c>
      <c r="P1293" s="251" t="str">
        <f t="shared" si="209"/>
        <v/>
      </c>
      <c r="Q1293" s="251" t="str">
        <f t="shared" si="210"/>
        <v/>
      </c>
      <c r="R1293" s="251" t="str">
        <f t="shared" si="211"/>
        <v/>
      </c>
      <c r="S1293" s="252" t="str">
        <f t="shared" si="212"/>
        <v/>
      </c>
      <c r="T1293" s="253"/>
      <c r="U1293" s="298">
        <v>0.13100000000000001</v>
      </c>
      <c r="V1293" s="298">
        <v>0.113</v>
      </c>
      <c r="W1293" s="298">
        <v>9.5000000000000001E-2</v>
      </c>
      <c r="X1293" s="298">
        <v>7.6999999999999999E-2</v>
      </c>
      <c r="Y1293" s="298">
        <v>5.8000000000000003E-2</v>
      </c>
      <c r="Z1293" s="298">
        <v>3.9E-2</v>
      </c>
    </row>
    <row r="1294" spans="13:26" x14ac:dyDescent="0.35">
      <c r="M1294" s="250">
        <v>1705</v>
      </c>
      <c r="N1294" s="251">
        <f t="shared" si="207"/>
        <v>0.14199999999999999</v>
      </c>
      <c r="O1294" s="251">
        <f t="shared" si="208"/>
        <v>0.124</v>
      </c>
      <c r="P1294" s="251">
        <f t="shared" si="209"/>
        <v>0.113</v>
      </c>
      <c r="Q1294" s="251">
        <f t="shared" si="210"/>
        <v>8.7999999999999995E-2</v>
      </c>
      <c r="R1294" s="251">
        <f t="shared" si="211"/>
        <v>6.9000000000000006E-2</v>
      </c>
      <c r="S1294" s="252">
        <f t="shared" si="212"/>
        <v>0.05</v>
      </c>
      <c r="T1294" s="253"/>
      <c r="U1294" s="298">
        <v>0.14199999999999999</v>
      </c>
      <c r="V1294" s="298">
        <v>0.124</v>
      </c>
      <c r="W1294" s="298">
        <v>0.113</v>
      </c>
      <c r="X1294" s="298">
        <v>8.7999999999999995E-2</v>
      </c>
      <c r="Y1294" s="298">
        <v>6.9000000000000006E-2</v>
      </c>
      <c r="Z1294" s="298">
        <v>0.05</v>
      </c>
    </row>
    <row r="1295" spans="13:26" x14ac:dyDescent="0.35">
      <c r="M1295" s="250">
        <v>1864</v>
      </c>
      <c r="N1295" s="251" t="str">
        <f t="shared" si="207"/>
        <v/>
      </c>
      <c r="O1295" s="251" t="str">
        <f t="shared" si="208"/>
        <v/>
      </c>
      <c r="P1295" s="251" t="str">
        <f t="shared" si="209"/>
        <v/>
      </c>
      <c r="Q1295" s="251" t="str">
        <f t="shared" si="210"/>
        <v/>
      </c>
      <c r="R1295" s="251" t="str">
        <f t="shared" si="211"/>
        <v/>
      </c>
      <c r="S1295" s="252" t="str">
        <f t="shared" si="212"/>
        <v/>
      </c>
      <c r="T1295" s="253"/>
      <c r="U1295" s="298">
        <v>0.154</v>
      </c>
      <c r="V1295" s="298">
        <v>0.14000000000000001</v>
      </c>
      <c r="W1295" s="298">
        <v>0.13300000000000001</v>
      </c>
      <c r="X1295" s="298">
        <v>0.112</v>
      </c>
      <c r="Y1295" s="298">
        <v>9.7000000000000003E-2</v>
      </c>
      <c r="Z1295" s="298">
        <v>0.09</v>
      </c>
    </row>
    <row r="1296" spans="13:26" x14ac:dyDescent="0.35">
      <c r="M1296" s="250">
        <v>1971</v>
      </c>
      <c r="N1296" s="251" t="str">
        <f t="shared" si="207"/>
        <v/>
      </c>
      <c r="O1296" s="251" t="str">
        <f t="shared" si="208"/>
        <v/>
      </c>
      <c r="P1296" s="251" t="str">
        <f t="shared" si="209"/>
        <v/>
      </c>
      <c r="Q1296" s="251" t="str">
        <f t="shared" si="210"/>
        <v/>
      </c>
      <c r="R1296" s="251" t="str">
        <f t="shared" si="211"/>
        <v/>
      </c>
      <c r="S1296" s="252" t="str">
        <f t="shared" si="212"/>
        <v/>
      </c>
      <c r="T1296" s="253"/>
      <c r="U1296" s="298">
        <v>0.161</v>
      </c>
      <c r="V1296" s="298">
        <v>0.14899999999999999</v>
      </c>
      <c r="W1296" s="298">
        <v>0.14000000000000001</v>
      </c>
      <c r="X1296" s="298">
        <v>0.11899999999999999</v>
      </c>
      <c r="Y1296" s="298">
        <v>0.112</v>
      </c>
      <c r="Z1296" s="298">
        <v>9.7000000000000003E-2</v>
      </c>
    </row>
    <row r="1297" spans="13:26" x14ac:dyDescent="0.35">
      <c r="M1297" s="250">
        <v>2083</v>
      </c>
      <c r="N1297" s="251" t="str">
        <f t="shared" si="207"/>
        <v/>
      </c>
      <c r="O1297" s="251" t="str">
        <f t="shared" si="208"/>
        <v/>
      </c>
      <c r="P1297" s="251" t="str">
        <f t="shared" si="209"/>
        <v/>
      </c>
      <c r="Q1297" s="251" t="str">
        <f t="shared" si="210"/>
        <v/>
      </c>
      <c r="R1297" s="251" t="str">
        <f t="shared" si="211"/>
        <v/>
      </c>
      <c r="S1297" s="252" t="str">
        <f t="shared" si="212"/>
        <v/>
      </c>
      <c r="T1297" s="253"/>
      <c r="U1297" s="298">
        <v>0.17399999999999999</v>
      </c>
      <c r="V1297" s="298">
        <v>0.16200000000000001</v>
      </c>
      <c r="W1297" s="298">
        <v>0.154</v>
      </c>
      <c r="X1297" s="298">
        <v>0.13</v>
      </c>
      <c r="Y1297" s="298">
        <v>0.123</v>
      </c>
      <c r="Z1297" s="298">
        <v>0.108</v>
      </c>
    </row>
    <row r="1298" spans="13:26" x14ac:dyDescent="0.35">
      <c r="M1298" s="250">
        <v>2211</v>
      </c>
      <c r="N1298" s="251" t="str">
        <f t="shared" si="207"/>
        <v/>
      </c>
      <c r="O1298" s="251" t="str">
        <f t="shared" si="208"/>
        <v/>
      </c>
      <c r="P1298" s="251" t="str">
        <f t="shared" si="209"/>
        <v/>
      </c>
      <c r="Q1298" s="251" t="str">
        <f t="shared" si="210"/>
        <v/>
      </c>
      <c r="R1298" s="251" t="str">
        <f t="shared" si="211"/>
        <v/>
      </c>
      <c r="S1298" s="252" t="str">
        <f t="shared" si="212"/>
        <v/>
      </c>
      <c r="T1298" s="253"/>
      <c r="U1298" s="298">
        <v>0.182</v>
      </c>
      <c r="V1298" s="298">
        <v>0.17</v>
      </c>
      <c r="W1298" s="298">
        <v>0.16200000000000001</v>
      </c>
      <c r="X1298" s="298">
        <v>0.13900000000000001</v>
      </c>
      <c r="Y1298" s="298">
        <v>0.13100000000000001</v>
      </c>
      <c r="Z1298" s="298">
        <v>0.11600000000000001</v>
      </c>
    </row>
    <row r="1299" spans="13:26" x14ac:dyDescent="0.35">
      <c r="M1299" s="250">
        <v>2359</v>
      </c>
      <c r="N1299" s="251" t="str">
        <f t="shared" si="207"/>
        <v/>
      </c>
      <c r="O1299" s="251" t="str">
        <f t="shared" si="208"/>
        <v/>
      </c>
      <c r="P1299" s="251" t="str">
        <f t="shared" si="209"/>
        <v/>
      </c>
      <c r="Q1299" s="251" t="str">
        <f t="shared" si="210"/>
        <v/>
      </c>
      <c r="R1299" s="251" t="str">
        <f t="shared" si="211"/>
        <v/>
      </c>
      <c r="S1299" s="252" t="str">
        <f t="shared" si="212"/>
        <v/>
      </c>
      <c r="T1299" s="253"/>
      <c r="U1299" s="298">
        <v>0.19</v>
      </c>
      <c r="V1299" s="298">
        <v>0.17799999999999999</v>
      </c>
      <c r="W1299" s="298">
        <v>0.17</v>
      </c>
      <c r="X1299" s="298">
        <v>0.14799999999999999</v>
      </c>
      <c r="Y1299" s="298">
        <v>0.14000000000000001</v>
      </c>
      <c r="Z1299" s="298">
        <v>0.123</v>
      </c>
    </row>
    <row r="1300" spans="13:26" x14ac:dyDescent="0.35">
      <c r="M1300" s="250">
        <v>2527</v>
      </c>
      <c r="N1300" s="251" t="str">
        <f t="shared" si="207"/>
        <v/>
      </c>
      <c r="O1300" s="251" t="str">
        <f t="shared" si="208"/>
        <v/>
      </c>
      <c r="P1300" s="251" t="str">
        <f t="shared" si="209"/>
        <v/>
      </c>
      <c r="Q1300" s="251" t="str">
        <f t="shared" si="210"/>
        <v/>
      </c>
      <c r="R1300" s="251" t="str">
        <f t="shared" si="211"/>
        <v/>
      </c>
      <c r="S1300" s="252" t="str">
        <f t="shared" si="212"/>
        <v/>
      </c>
      <c r="T1300" s="253"/>
      <c r="U1300" s="298">
        <v>0.19800000000000001</v>
      </c>
      <c r="V1300" s="298">
        <v>0.193</v>
      </c>
      <c r="W1300" s="298">
        <v>0.17799999999999999</v>
      </c>
      <c r="X1300" s="298">
        <v>0.16300000000000001</v>
      </c>
      <c r="Y1300" s="298">
        <v>0.14799999999999999</v>
      </c>
      <c r="Z1300" s="298">
        <v>0.14000000000000001</v>
      </c>
    </row>
    <row r="1301" spans="13:26" x14ac:dyDescent="0.35">
      <c r="M1301" s="250">
        <v>2758</v>
      </c>
      <c r="N1301" s="251" t="str">
        <f t="shared" si="207"/>
        <v/>
      </c>
      <c r="O1301" s="251" t="str">
        <f t="shared" si="208"/>
        <v/>
      </c>
      <c r="P1301" s="251" t="str">
        <f t="shared" si="209"/>
        <v/>
      </c>
      <c r="Q1301" s="251" t="str">
        <f t="shared" si="210"/>
        <v/>
      </c>
      <c r="R1301" s="251" t="str">
        <f t="shared" si="211"/>
        <v/>
      </c>
      <c r="S1301" s="252" t="str">
        <f t="shared" si="212"/>
        <v/>
      </c>
      <c r="T1301" s="253"/>
      <c r="U1301" s="298">
        <v>0.20599999999999999</v>
      </c>
      <c r="V1301" s="298">
        <v>0.2</v>
      </c>
      <c r="W1301" s="298">
        <v>0.186</v>
      </c>
      <c r="X1301" s="298">
        <v>0.17100000000000001</v>
      </c>
      <c r="Y1301" s="298">
        <v>0.155</v>
      </c>
      <c r="Z1301" s="298">
        <v>0.14799999999999999</v>
      </c>
    </row>
    <row r="1302" spans="13:26" x14ac:dyDescent="0.35">
      <c r="M1302" s="250">
        <v>3094</v>
      </c>
      <c r="N1302" s="251" t="str">
        <f t="shared" si="207"/>
        <v/>
      </c>
      <c r="O1302" s="251" t="str">
        <f t="shared" si="208"/>
        <v/>
      </c>
      <c r="P1302" s="251" t="str">
        <f t="shared" si="209"/>
        <v/>
      </c>
      <c r="Q1302" s="251" t="str">
        <f t="shared" si="210"/>
        <v/>
      </c>
      <c r="R1302" s="251" t="str">
        <f t="shared" si="211"/>
        <v/>
      </c>
      <c r="S1302" s="252" t="str">
        <f t="shared" si="212"/>
        <v/>
      </c>
      <c r="T1302" s="253"/>
      <c r="U1302" s="298">
        <v>0.223</v>
      </c>
      <c r="V1302" s="298">
        <v>0.217</v>
      </c>
      <c r="W1302" s="298">
        <v>0.20100000000000001</v>
      </c>
      <c r="X1302" s="298">
        <v>0.186</v>
      </c>
      <c r="Y1302" s="298">
        <v>0.17</v>
      </c>
      <c r="Z1302" s="298">
        <v>0.16200000000000001</v>
      </c>
    </row>
    <row r="1303" spans="13:26" x14ac:dyDescent="0.35">
      <c r="M1303" s="250">
        <v>3523</v>
      </c>
      <c r="N1303" s="251" t="str">
        <f t="shared" si="207"/>
        <v/>
      </c>
      <c r="O1303" s="251" t="str">
        <f t="shared" si="208"/>
        <v/>
      </c>
      <c r="P1303" s="251" t="str">
        <f t="shared" si="209"/>
        <v/>
      </c>
      <c r="Q1303" s="251" t="str">
        <f t="shared" si="210"/>
        <v/>
      </c>
      <c r="R1303" s="251" t="str">
        <f t="shared" si="211"/>
        <v/>
      </c>
      <c r="S1303" s="252" t="str">
        <f t="shared" si="212"/>
        <v/>
      </c>
      <c r="T1303" s="253"/>
      <c r="U1303" s="298">
        <v>0.23200000000000001</v>
      </c>
      <c r="V1303" s="298">
        <v>0.23</v>
      </c>
      <c r="W1303" s="298">
        <v>0.217</v>
      </c>
      <c r="X1303" s="298">
        <v>0.20499999999999999</v>
      </c>
      <c r="Y1303" s="298">
        <v>0.2</v>
      </c>
      <c r="Z1303" s="298">
        <v>0.187</v>
      </c>
    </row>
    <row r="1304" spans="13:26" x14ac:dyDescent="0.35">
      <c r="M1304" s="250">
        <v>4105</v>
      </c>
      <c r="N1304" s="251" t="str">
        <f t="shared" si="207"/>
        <v/>
      </c>
      <c r="O1304" s="251" t="str">
        <f t="shared" si="208"/>
        <v/>
      </c>
      <c r="P1304" s="251" t="str">
        <f t="shared" si="209"/>
        <v/>
      </c>
      <c r="Q1304" s="251" t="str">
        <f t="shared" si="210"/>
        <v/>
      </c>
      <c r="R1304" s="251" t="str">
        <f t="shared" si="211"/>
        <v/>
      </c>
      <c r="S1304" s="252" t="str">
        <f t="shared" si="212"/>
        <v/>
      </c>
      <c r="T1304" s="253"/>
      <c r="U1304" s="298">
        <v>0.24199999999999999</v>
      </c>
      <c r="V1304" s="298">
        <v>0.24</v>
      </c>
      <c r="W1304" s="298">
        <v>0.22500000000000001</v>
      </c>
      <c r="X1304" s="298">
        <v>0.21199999999999999</v>
      </c>
      <c r="Y1304" s="298">
        <v>0.20799999999999999</v>
      </c>
      <c r="Z1304" s="298">
        <v>0.20300000000000001</v>
      </c>
    </row>
    <row r="1305" spans="13:26" x14ac:dyDescent="0.35">
      <c r="M1305" s="250">
        <v>4636</v>
      </c>
      <c r="N1305" s="251" t="str">
        <f t="shared" si="207"/>
        <v/>
      </c>
      <c r="O1305" s="251" t="str">
        <f t="shared" si="208"/>
        <v/>
      </c>
      <c r="P1305" s="251" t="str">
        <f t="shared" si="209"/>
        <v/>
      </c>
      <c r="Q1305" s="251" t="str">
        <f t="shared" si="210"/>
        <v/>
      </c>
      <c r="R1305" s="251" t="str">
        <f t="shared" si="211"/>
        <v/>
      </c>
      <c r="S1305" s="252" t="str">
        <f t="shared" si="212"/>
        <v/>
      </c>
      <c r="T1305" s="253"/>
      <c r="U1305" s="298">
        <v>0.25600000000000001</v>
      </c>
      <c r="V1305" s="298">
        <v>0.252</v>
      </c>
      <c r="W1305" s="298">
        <v>0.23899999999999999</v>
      </c>
      <c r="X1305" s="298">
        <v>0.224</v>
      </c>
      <c r="Y1305" s="298">
        <v>0.219</v>
      </c>
      <c r="Z1305" s="298">
        <v>0.215</v>
      </c>
    </row>
    <row r="1306" spans="13:26" x14ac:dyDescent="0.35">
      <c r="M1306" s="250">
        <v>5178</v>
      </c>
      <c r="N1306" s="251" t="str">
        <f t="shared" si="207"/>
        <v/>
      </c>
      <c r="O1306" s="251" t="str">
        <f t="shared" si="208"/>
        <v/>
      </c>
      <c r="P1306" s="251" t="str">
        <f t="shared" si="209"/>
        <v/>
      </c>
      <c r="Q1306" s="251" t="str">
        <f t="shared" si="210"/>
        <v/>
      </c>
      <c r="R1306" s="251" t="str">
        <f t="shared" si="211"/>
        <v/>
      </c>
      <c r="S1306" s="252" t="str">
        <f t="shared" si="212"/>
        <v/>
      </c>
      <c r="T1306" s="253"/>
      <c r="U1306" s="298">
        <v>0.26400000000000001</v>
      </c>
      <c r="V1306" s="298">
        <v>0.26</v>
      </c>
      <c r="W1306" s="298">
        <v>0.255</v>
      </c>
      <c r="X1306" s="298">
        <v>0.23400000000000001</v>
      </c>
      <c r="Y1306" s="298">
        <v>0.22700000000000001</v>
      </c>
      <c r="Z1306" s="298">
        <v>0.223</v>
      </c>
    </row>
    <row r="1307" spans="13:26" x14ac:dyDescent="0.35">
      <c r="M1307" s="250">
        <v>5862</v>
      </c>
      <c r="N1307" s="251" t="str">
        <f t="shared" si="207"/>
        <v/>
      </c>
      <c r="O1307" s="251" t="str">
        <f t="shared" si="208"/>
        <v/>
      </c>
      <c r="P1307" s="251" t="str">
        <f t="shared" si="209"/>
        <v/>
      </c>
      <c r="Q1307" s="251" t="str">
        <f t="shared" si="210"/>
        <v/>
      </c>
      <c r="R1307" s="251" t="str">
        <f t="shared" si="211"/>
        <v/>
      </c>
      <c r="S1307" s="252" t="str">
        <f t="shared" si="212"/>
        <v/>
      </c>
      <c r="T1307" s="253"/>
      <c r="U1307" s="298">
        <v>0.27100000000000002</v>
      </c>
      <c r="V1307" s="298">
        <v>0.26700000000000002</v>
      </c>
      <c r="W1307" s="298">
        <v>0.26300000000000001</v>
      </c>
      <c r="X1307" s="298">
        <v>0.24199999999999999</v>
      </c>
      <c r="Y1307" s="298">
        <v>0.23799999999999999</v>
      </c>
      <c r="Z1307" s="298">
        <v>0.23</v>
      </c>
    </row>
    <row r="1308" spans="13:26" x14ac:dyDescent="0.35">
      <c r="M1308" s="250">
        <v>6706</v>
      </c>
      <c r="N1308" s="251" t="str">
        <f t="shared" si="207"/>
        <v/>
      </c>
      <c r="O1308" s="251" t="str">
        <f t="shared" si="208"/>
        <v/>
      </c>
      <c r="P1308" s="251" t="str">
        <f t="shared" si="209"/>
        <v/>
      </c>
      <c r="Q1308" s="251" t="str">
        <f t="shared" si="210"/>
        <v/>
      </c>
      <c r="R1308" s="251" t="str">
        <f t="shared" si="211"/>
        <v/>
      </c>
      <c r="S1308" s="252" t="str">
        <f t="shared" si="212"/>
        <v/>
      </c>
      <c r="T1308" s="253"/>
      <c r="U1308" s="298">
        <v>0.29199999999999998</v>
      </c>
      <c r="V1308" s="298">
        <v>0.28899999999999998</v>
      </c>
      <c r="W1308" s="298">
        <v>0.28199999999999997</v>
      </c>
      <c r="X1308" s="298">
        <v>0.26700000000000002</v>
      </c>
      <c r="Y1308" s="298">
        <v>0.26400000000000001</v>
      </c>
      <c r="Z1308" s="298">
        <v>0.26100000000000001</v>
      </c>
    </row>
    <row r="1309" spans="13:26" x14ac:dyDescent="0.35">
      <c r="M1309" s="250">
        <v>7915</v>
      </c>
      <c r="N1309" s="251" t="str">
        <f t="shared" si="207"/>
        <v/>
      </c>
      <c r="O1309" s="251" t="str">
        <f t="shared" si="208"/>
        <v/>
      </c>
      <c r="P1309" s="251" t="str">
        <f t="shared" si="209"/>
        <v/>
      </c>
      <c r="Q1309" s="251" t="str">
        <f t="shared" si="210"/>
        <v/>
      </c>
      <c r="R1309" s="251" t="str">
        <f t="shared" si="211"/>
        <v/>
      </c>
      <c r="S1309" s="252" t="str">
        <f t="shared" si="212"/>
        <v/>
      </c>
      <c r="T1309" s="253"/>
      <c r="U1309" s="298">
        <v>0.3</v>
      </c>
      <c r="V1309" s="298">
        <v>0.29699999999999999</v>
      </c>
      <c r="W1309" s="298">
        <v>0.29399999999999998</v>
      </c>
      <c r="X1309" s="298">
        <v>0.28299999999999997</v>
      </c>
      <c r="Y1309" s="298">
        <v>0.27200000000000002</v>
      </c>
      <c r="Z1309" s="298">
        <v>0.26900000000000002</v>
      </c>
    </row>
    <row r="1310" spans="13:26" x14ac:dyDescent="0.35">
      <c r="M1310" s="250">
        <v>9531</v>
      </c>
      <c r="N1310" s="251" t="str">
        <f t="shared" si="207"/>
        <v/>
      </c>
      <c r="O1310" s="251" t="str">
        <f t="shared" si="208"/>
        <v/>
      </c>
      <c r="P1310" s="251" t="str">
        <f t="shared" si="209"/>
        <v/>
      </c>
      <c r="Q1310" s="251" t="str">
        <f t="shared" si="210"/>
        <v/>
      </c>
      <c r="R1310" s="251" t="str">
        <f t="shared" si="211"/>
        <v/>
      </c>
      <c r="S1310" s="252" t="str">
        <f t="shared" si="212"/>
        <v/>
      </c>
      <c r="T1310" s="253"/>
      <c r="U1310" s="298">
        <v>0.316</v>
      </c>
      <c r="V1310" s="298">
        <v>0.313</v>
      </c>
      <c r="W1310" s="298">
        <v>0.31</v>
      </c>
      <c r="X1310" s="298">
        <v>0.29899999999999999</v>
      </c>
      <c r="Y1310" s="298">
        <v>0.29599999999999999</v>
      </c>
      <c r="Z1310" s="298">
        <v>0.28499999999999998</v>
      </c>
    </row>
    <row r="1311" spans="13:26" x14ac:dyDescent="0.35">
      <c r="M1311" s="250">
        <v>11248</v>
      </c>
      <c r="N1311" s="251" t="str">
        <f t="shared" si="207"/>
        <v/>
      </c>
      <c r="O1311" s="251" t="str">
        <f t="shared" si="208"/>
        <v/>
      </c>
      <c r="P1311" s="251" t="str">
        <f t="shared" si="209"/>
        <v/>
      </c>
      <c r="Q1311" s="251" t="str">
        <f t="shared" si="210"/>
        <v/>
      </c>
      <c r="R1311" s="251" t="str">
        <f t="shared" si="211"/>
        <v/>
      </c>
      <c r="S1311" s="252" t="str">
        <f t="shared" si="212"/>
        <v/>
      </c>
      <c r="T1311" s="253"/>
      <c r="U1311" s="298">
        <v>0.32400000000000001</v>
      </c>
      <c r="V1311" s="298">
        <v>0.32100000000000001</v>
      </c>
      <c r="W1311" s="298">
        <v>0.318</v>
      </c>
      <c r="X1311" s="298">
        <v>0.31</v>
      </c>
      <c r="Y1311" s="298">
        <v>0.30399999999999999</v>
      </c>
      <c r="Z1311" s="298">
        <v>0.29299999999999998</v>
      </c>
    </row>
    <row r="1312" spans="13:26" x14ac:dyDescent="0.35">
      <c r="M1312" s="250">
        <v>18797</v>
      </c>
      <c r="N1312" s="251" t="str">
        <f t="shared" si="207"/>
        <v/>
      </c>
      <c r="O1312" s="251" t="str">
        <f t="shared" si="208"/>
        <v/>
      </c>
      <c r="P1312" s="251" t="str">
        <f t="shared" si="209"/>
        <v/>
      </c>
      <c r="Q1312" s="251" t="str">
        <f t="shared" si="210"/>
        <v/>
      </c>
      <c r="R1312" s="251" t="str">
        <f t="shared" si="211"/>
        <v/>
      </c>
      <c r="S1312" s="252" t="str">
        <f t="shared" si="212"/>
        <v/>
      </c>
      <c r="T1312" s="253"/>
      <c r="U1312" s="298">
        <v>0.33200000000000002</v>
      </c>
      <c r="V1312" s="298">
        <v>0.32900000000000001</v>
      </c>
      <c r="W1312" s="298">
        <v>0.32600000000000001</v>
      </c>
      <c r="X1312" s="298">
        <v>0.318</v>
      </c>
      <c r="Y1312" s="298">
        <v>0.315</v>
      </c>
      <c r="Z1312" s="298">
        <v>0.30099999999999999</v>
      </c>
    </row>
    <row r="1313" spans="13:26" x14ac:dyDescent="0.35">
      <c r="M1313" s="250">
        <v>20160</v>
      </c>
      <c r="N1313" s="251" t="str">
        <f t="shared" si="207"/>
        <v/>
      </c>
      <c r="O1313" s="251" t="str">
        <f t="shared" si="208"/>
        <v/>
      </c>
      <c r="P1313" s="251" t="str">
        <f t="shared" si="209"/>
        <v/>
      </c>
      <c r="Q1313" s="251" t="str">
        <f t="shared" si="210"/>
        <v/>
      </c>
      <c r="R1313" s="251" t="str">
        <f t="shared" si="211"/>
        <v/>
      </c>
      <c r="S1313" s="252" t="str">
        <f t="shared" si="212"/>
        <v/>
      </c>
      <c r="T1313" s="253"/>
      <c r="U1313" s="298">
        <v>0.34</v>
      </c>
      <c r="V1313" s="298">
        <v>0.33700000000000002</v>
      </c>
      <c r="W1313" s="298">
        <v>0.33400000000000002</v>
      </c>
      <c r="X1313" s="298">
        <v>0.32600000000000001</v>
      </c>
      <c r="Y1313" s="298">
        <v>0.32300000000000001</v>
      </c>
      <c r="Z1313" s="298">
        <v>0.309</v>
      </c>
    </row>
    <row r="1314" spans="13:26" x14ac:dyDescent="0.35">
      <c r="M1314" s="250">
        <v>22680</v>
      </c>
      <c r="N1314" s="251" t="str">
        <f t="shared" si="207"/>
        <v/>
      </c>
      <c r="O1314" s="251" t="str">
        <f t="shared" si="208"/>
        <v/>
      </c>
      <c r="P1314" s="251" t="str">
        <f t="shared" si="209"/>
        <v/>
      </c>
      <c r="Q1314" s="251" t="str">
        <f t="shared" si="210"/>
        <v/>
      </c>
      <c r="R1314" s="251" t="str">
        <f t="shared" si="211"/>
        <v/>
      </c>
      <c r="S1314" s="252" t="str">
        <f t="shared" si="212"/>
        <v/>
      </c>
      <c r="T1314" s="253"/>
      <c r="U1314" s="298">
        <v>0.34599999999999997</v>
      </c>
      <c r="V1314" s="298">
        <v>0.34499999999999997</v>
      </c>
      <c r="W1314" s="298">
        <v>0.34200000000000003</v>
      </c>
      <c r="X1314" s="298">
        <v>0.33400000000000002</v>
      </c>
      <c r="Y1314" s="298">
        <v>0.33100000000000002</v>
      </c>
      <c r="Z1314" s="298">
        <v>0.318</v>
      </c>
    </row>
    <row r="1315" spans="13:26" x14ac:dyDescent="0.35">
      <c r="M1315" s="250">
        <v>25200</v>
      </c>
      <c r="N1315" s="251" t="str">
        <f t="shared" si="207"/>
        <v/>
      </c>
      <c r="O1315" s="251" t="str">
        <f t="shared" si="208"/>
        <v/>
      </c>
      <c r="P1315" s="251" t="str">
        <f t="shared" si="209"/>
        <v/>
      </c>
      <c r="Q1315" s="251" t="str">
        <f t="shared" si="210"/>
        <v/>
      </c>
      <c r="R1315" s="251" t="str">
        <f t="shared" si="211"/>
        <v/>
      </c>
      <c r="S1315" s="252" t="str">
        <f t="shared" si="212"/>
        <v/>
      </c>
      <c r="T1315" s="253"/>
      <c r="U1315" s="298">
        <v>0.35399999999999998</v>
      </c>
      <c r="V1315" s="298">
        <v>0.35299999999999998</v>
      </c>
      <c r="W1315" s="298">
        <v>0.35</v>
      </c>
      <c r="X1315" s="298">
        <v>0.34200000000000003</v>
      </c>
      <c r="Y1315" s="298">
        <v>0.33900000000000002</v>
      </c>
      <c r="Z1315" s="298">
        <v>0.32800000000000001</v>
      </c>
    </row>
    <row r="1316" spans="13:26" x14ac:dyDescent="0.35">
      <c r="M1316" s="250">
        <v>25200</v>
      </c>
      <c r="N1316" s="251" t="str">
        <f t="shared" si="207"/>
        <v/>
      </c>
      <c r="O1316" s="251" t="str">
        <f t="shared" si="208"/>
        <v/>
      </c>
      <c r="P1316" s="251" t="str">
        <f t="shared" si="209"/>
        <v/>
      </c>
      <c r="Q1316" s="251" t="str">
        <f t="shared" si="210"/>
        <v/>
      </c>
      <c r="R1316" s="251" t="str">
        <f t="shared" si="211"/>
        <v/>
      </c>
      <c r="S1316" s="252" t="str">
        <f t="shared" si="212"/>
        <v/>
      </c>
      <c r="T1316" s="253"/>
      <c r="U1316" s="298">
        <v>0.36199999999999999</v>
      </c>
      <c r="V1316" s="298">
        <v>0.36099999999999999</v>
      </c>
      <c r="W1316" s="298">
        <v>0.35799999999999998</v>
      </c>
      <c r="X1316" s="298">
        <v>0.35</v>
      </c>
      <c r="Y1316" s="298">
        <v>0.34699999999999998</v>
      </c>
      <c r="Z1316" s="298">
        <v>0.33600000000000002</v>
      </c>
    </row>
    <row r="1317" spans="13:26" x14ac:dyDescent="0.35">
      <c r="M1317" s="250">
        <v>25200</v>
      </c>
      <c r="N1317" s="251" t="str">
        <f t="shared" si="207"/>
        <v/>
      </c>
      <c r="O1317" s="251" t="str">
        <f t="shared" si="208"/>
        <v/>
      </c>
      <c r="P1317" s="251" t="str">
        <f t="shared" si="209"/>
        <v/>
      </c>
      <c r="Q1317" s="251" t="str">
        <f t="shared" si="210"/>
        <v/>
      </c>
      <c r="R1317" s="251" t="str">
        <f t="shared" si="211"/>
        <v/>
      </c>
      <c r="S1317" s="252" t="str">
        <f t="shared" si="212"/>
        <v/>
      </c>
      <c r="T1317" s="253"/>
      <c r="U1317" s="298">
        <v>0.36199999999999999</v>
      </c>
      <c r="V1317" s="298">
        <v>0.36099999999999999</v>
      </c>
      <c r="W1317" s="298">
        <v>0.35799999999999998</v>
      </c>
      <c r="X1317" s="298">
        <v>0.35</v>
      </c>
      <c r="Y1317" s="298">
        <v>0.34699999999999998</v>
      </c>
      <c r="Z1317" s="298">
        <v>0.33600000000000002</v>
      </c>
    </row>
    <row r="1318" spans="13:26" x14ac:dyDescent="0.35">
      <c r="M1318" s="250">
        <v>25200</v>
      </c>
      <c r="N1318" s="251" t="str">
        <f>IF($R$11&gt;=M1317+0.01,U1318,"")</f>
        <v/>
      </c>
      <c r="O1318" s="251" t="str">
        <f>IF($R$11&gt;=M1317,V1318,"")</f>
        <v/>
      </c>
      <c r="P1318" s="251" t="str">
        <f>IF($R$11&gt;=M1317,W1318,"")</f>
        <v/>
      </c>
      <c r="Q1318" s="251" t="str">
        <f>IF($R$11&gt;=M1317,X1318,"")</f>
        <v/>
      </c>
      <c r="R1318" s="252" t="str">
        <f>IF($R$11&gt;=M1317,Y1318,"")</f>
        <v/>
      </c>
      <c r="S1318" s="251" t="str">
        <f>IF($R$11&gt;=M1317,Z1318,"")</f>
        <v/>
      </c>
      <c r="T1318" s="253"/>
      <c r="U1318" s="298">
        <v>0.36199999999999999</v>
      </c>
      <c r="V1318" s="298">
        <v>0.36099999999999999</v>
      </c>
      <c r="W1318" s="298">
        <v>0.35799999999999998</v>
      </c>
      <c r="X1318" s="298">
        <v>0.35</v>
      </c>
      <c r="Y1318" s="298">
        <v>0.34699999999999998</v>
      </c>
      <c r="Z1318" s="298">
        <v>0.33600000000000002</v>
      </c>
    </row>
    <row r="1319" spans="13:26" x14ac:dyDescent="0.35">
      <c r="M1319" s="249"/>
      <c r="N1319" s="280" t="str">
        <f>IF($A$15=2,IF($A$2=7,IF($I$2=0,SUM(N1281:N1318),""),""),"")</f>
        <v/>
      </c>
      <c r="O1319" s="281" t="str">
        <f>IF($A$15=2,IF($A$2=7,IF($I$2=1,SUM(O1281:O1318),""),""),"")</f>
        <v/>
      </c>
      <c r="P1319" s="281" t="str">
        <f>IF($A$15=2,IF($A$2=7,IF($I$2=2,SUM(P1281:P1318),""),""),"")</f>
        <v/>
      </c>
      <c r="Q1319" s="281" t="str">
        <f>IF($A$15=2,IF($A$2=7,IF($I$2=3,SUM(Q1281:Q1318),""),""),"")</f>
        <v/>
      </c>
      <c r="R1319" s="281" t="str">
        <f>IF($A$15=2,IF($A$2=7,IF($I$2=4,SUM(R1281:R1318),""),""),"")</f>
        <v/>
      </c>
      <c r="S1319" s="282" t="str">
        <f>IF($A$15=2,IF($A$2=7,IF($I$2=5,SUM(S1281:S1318),""),""),"")</f>
        <v/>
      </c>
      <c r="T1319" s="260">
        <f>SUM(N1319:S1319)</f>
        <v>0</v>
      </c>
      <c r="U1319" s="254"/>
      <c r="V1319" s="254"/>
      <c r="W1319" s="254"/>
      <c r="X1319" s="254"/>
      <c r="Y1319" s="254"/>
      <c r="Z1319" s="254"/>
    </row>
    <row r="1320" spans="13:26" x14ac:dyDescent="0.35">
      <c r="M1320" s="249"/>
      <c r="N1320" s="249"/>
      <c r="O1320" s="249"/>
      <c r="P1320" s="249"/>
      <c r="Q1320" s="249"/>
      <c r="R1320" s="249"/>
      <c r="S1320" s="249"/>
      <c r="T1320" s="253"/>
      <c r="U1320" s="253"/>
      <c r="V1320" s="253"/>
      <c r="W1320" s="253"/>
      <c r="X1320" s="253"/>
      <c r="Y1320" s="253"/>
      <c r="Z1320" s="253"/>
    </row>
    <row r="1321" spans="13:26" x14ac:dyDescent="0.35">
      <c r="M1321" s="249"/>
      <c r="N1321" s="249"/>
      <c r="O1321" s="249"/>
      <c r="P1321" s="249"/>
      <c r="Q1321" s="249"/>
      <c r="R1321" s="249"/>
      <c r="S1321" s="249"/>
      <c r="T1321" s="253"/>
      <c r="U1321" s="253"/>
      <c r="V1321" s="253"/>
      <c r="W1321" s="253"/>
      <c r="X1321" s="253"/>
      <c r="Y1321" s="253"/>
      <c r="Z1321" s="253"/>
    </row>
    <row r="1322" spans="13:26" x14ac:dyDescent="0.35">
      <c r="M1322" s="249"/>
      <c r="N1322" s="249"/>
      <c r="O1322" s="249"/>
      <c r="P1322" s="249"/>
      <c r="Q1322" s="249"/>
      <c r="R1322" s="249"/>
      <c r="S1322" s="249"/>
      <c r="T1322" s="253"/>
      <c r="U1322" s="253"/>
      <c r="V1322" s="253"/>
      <c r="W1322" s="253"/>
      <c r="X1322" s="253"/>
      <c r="Y1322" s="253"/>
      <c r="Z1322" s="253"/>
    </row>
    <row r="1323" spans="13:26" x14ac:dyDescent="0.35">
      <c r="M1323" s="263" t="s">
        <v>147</v>
      </c>
      <c r="N1323" s="272"/>
      <c r="O1323" s="273" t="s">
        <v>181</v>
      </c>
      <c r="P1323" s="283"/>
      <c r="Q1323" s="273"/>
      <c r="R1323" s="273"/>
      <c r="S1323" s="273"/>
      <c r="T1323" s="253"/>
      <c r="U1323" s="275" t="str">
        <f>O1323</f>
        <v>Tabelas de IRS de retenção na fonte referente a 2018 nos Açores</v>
      </c>
      <c r="V1323" s="253"/>
      <c r="W1323" s="253"/>
      <c r="X1323" s="253"/>
      <c r="Y1323" s="253"/>
      <c r="Z1323" s="253"/>
    </row>
    <row r="1324" spans="13:26" x14ac:dyDescent="0.35">
      <c r="M1324" s="297"/>
      <c r="N1324" s="273"/>
      <c r="O1324" s="273" t="s">
        <v>205</v>
      </c>
      <c r="P1324" s="297"/>
      <c r="Q1324" s="273"/>
      <c r="R1324" s="273"/>
      <c r="S1324" s="297"/>
      <c r="T1324" s="253"/>
      <c r="U1324" s="275"/>
      <c r="V1324" s="253"/>
      <c r="W1324" s="253"/>
      <c r="X1324" s="253"/>
      <c r="Y1324" s="253"/>
      <c r="Z1324" s="253"/>
    </row>
    <row r="1325" spans="13:26" x14ac:dyDescent="0.35">
      <c r="M1325" s="273"/>
      <c r="N1325" s="273"/>
      <c r="O1325" s="273" t="s">
        <v>178</v>
      </c>
      <c r="P1325" s="297"/>
      <c r="Q1325" s="273"/>
      <c r="R1325" s="273"/>
      <c r="S1325" s="297"/>
      <c r="T1325" s="253"/>
      <c r="U1325" s="275" t="str">
        <f>O1325</f>
        <v>CASADO UNICO TITULAR</v>
      </c>
      <c r="V1325" s="253"/>
      <c r="W1325" s="253"/>
      <c r="X1325" s="253"/>
      <c r="Y1325" s="253"/>
      <c r="Z1325" s="253"/>
    </row>
    <row r="1326" spans="13:26" x14ac:dyDescent="0.35">
      <c r="M1326" s="267" t="s">
        <v>154</v>
      </c>
      <c r="N1326" s="268" t="s">
        <v>155</v>
      </c>
      <c r="O1326" s="268" t="s">
        <v>156</v>
      </c>
      <c r="P1326" s="268" t="s">
        <v>157</v>
      </c>
      <c r="Q1326" s="268" t="s">
        <v>158</v>
      </c>
      <c r="R1326" s="268" t="s">
        <v>159</v>
      </c>
      <c r="S1326" s="268" t="s">
        <v>160</v>
      </c>
      <c r="T1326" s="253"/>
      <c r="U1326" s="269" t="str">
        <f t="shared" ref="U1326:Z1326" si="213">N1326</f>
        <v>0 dep</v>
      </c>
      <c r="V1326" s="269" t="str">
        <f t="shared" si="213"/>
        <v>1 dep</v>
      </c>
      <c r="W1326" s="269" t="str">
        <f t="shared" si="213"/>
        <v>2 dep</v>
      </c>
      <c r="X1326" s="269" t="str">
        <f t="shared" si="213"/>
        <v>3 dep</v>
      </c>
      <c r="Y1326" s="269" t="str">
        <f t="shared" si="213"/>
        <v>4 dep</v>
      </c>
      <c r="Z1326" s="269" t="str">
        <f t="shared" si="213"/>
        <v>5 dep. ou +</v>
      </c>
    </row>
    <row r="1327" spans="13:26" x14ac:dyDescent="0.35">
      <c r="M1327" s="299">
        <v>641</v>
      </c>
      <c r="N1327" s="251" t="str">
        <f>IF($R$11&lt;=M1327,IF($R$11&gt;=0,0,""),"")</f>
        <v/>
      </c>
      <c r="O1327" s="251" t="str">
        <f>IF($R$11&lt;=M1327,IF($R$11&gt;=0,0,""),"")</f>
        <v/>
      </c>
      <c r="P1327" s="251" t="str">
        <f>IF($R$11&lt;=M1327,IF($R$11&gt;=0,0,""),"")</f>
        <v/>
      </c>
      <c r="Q1327" s="251" t="str">
        <f>IF($R$11&lt;=M1327,IF($R$11&gt;=0,0,""),"")</f>
        <v/>
      </c>
      <c r="R1327" s="251" t="str">
        <f>IF($R$11&lt;=M1327,IF($R$11&gt;=0,0,""),"")</f>
        <v/>
      </c>
      <c r="S1327" s="251" t="str">
        <f>IF($R$11&lt;=M1327,IF($R$11&gt;=0,0,""),"")</f>
        <v/>
      </c>
      <c r="T1327" s="253"/>
      <c r="U1327" s="298">
        <v>0</v>
      </c>
      <c r="V1327" s="298">
        <v>0</v>
      </c>
      <c r="W1327" s="298">
        <v>0</v>
      </c>
      <c r="X1327" s="298">
        <v>0</v>
      </c>
      <c r="Y1327" s="298">
        <v>0</v>
      </c>
      <c r="Z1327" s="298">
        <v>0</v>
      </c>
    </row>
    <row r="1328" spans="13:26" x14ac:dyDescent="0.35">
      <c r="M1328" s="300">
        <v>683</v>
      </c>
      <c r="N1328" s="251" t="str">
        <f t="shared" ref="N1328:N1362" si="214">IF($R$11&lt;=M1328,IF($R$11&gt;=M1327+0.01,U1328,""),"")</f>
        <v/>
      </c>
      <c r="O1328" s="251" t="str">
        <f t="shared" ref="O1328:O1362" si="215">IF($R$11&lt;=M1328,IF($R$11&gt;=M1327+0.01,V1328,""),"")</f>
        <v/>
      </c>
      <c r="P1328" s="251" t="str">
        <f t="shared" ref="P1328:P1362" si="216">IF($R$11&lt;=M1328,IF($R$11&gt;=M1327+0.01,W1328,""),"")</f>
        <v/>
      </c>
      <c r="Q1328" s="251" t="str">
        <f t="shared" ref="Q1328:Q1362" si="217">IF($R$11&lt;=M1328,IF($R$11&gt;=M1327+0.01,X1328,""),"")</f>
        <v/>
      </c>
      <c r="R1328" s="251" t="str">
        <f t="shared" ref="R1328:R1362" si="218">IF($R$11&lt;=M1328,IF($R$11&gt;=M1327+0.01,Y1328,""),"")</f>
        <v/>
      </c>
      <c r="S1328" s="252" t="str">
        <f t="shared" ref="S1328:S1362" si="219">IF($R$11&lt;=M1328,IF($R$11&gt;=M1327+0.01,Z1328,""),"")</f>
        <v/>
      </c>
      <c r="T1328" s="253"/>
      <c r="U1328" s="298">
        <v>3.0000000000000001E-3</v>
      </c>
      <c r="V1328" s="298">
        <v>0</v>
      </c>
      <c r="W1328" s="298">
        <v>0</v>
      </c>
      <c r="X1328" s="298">
        <v>0</v>
      </c>
      <c r="Y1328" s="298">
        <v>0</v>
      </c>
      <c r="Z1328" s="298">
        <v>0</v>
      </c>
    </row>
    <row r="1329" spans="13:26" x14ac:dyDescent="0.35">
      <c r="M1329" s="300">
        <v>705</v>
      </c>
      <c r="N1329" s="251" t="str">
        <f t="shared" si="214"/>
        <v/>
      </c>
      <c r="O1329" s="251" t="str">
        <f t="shared" si="215"/>
        <v/>
      </c>
      <c r="P1329" s="251" t="str">
        <f t="shared" si="216"/>
        <v/>
      </c>
      <c r="Q1329" s="251" t="str">
        <f t="shared" si="217"/>
        <v/>
      </c>
      <c r="R1329" s="251" t="str">
        <f t="shared" si="218"/>
        <v/>
      </c>
      <c r="S1329" s="252" t="str">
        <f t="shared" si="219"/>
        <v/>
      </c>
      <c r="T1329" s="253"/>
      <c r="U1329" s="298">
        <v>1.7999999999999999E-2</v>
      </c>
      <c r="V1329" s="298">
        <v>0</v>
      </c>
      <c r="W1329" s="298">
        <v>0</v>
      </c>
      <c r="X1329" s="298">
        <v>0</v>
      </c>
      <c r="Y1329" s="298">
        <v>0</v>
      </c>
      <c r="Z1329" s="298">
        <v>0</v>
      </c>
    </row>
    <row r="1330" spans="13:26" x14ac:dyDescent="0.35">
      <c r="M1330" s="300">
        <v>751</v>
      </c>
      <c r="N1330" s="251" t="str">
        <f t="shared" si="214"/>
        <v/>
      </c>
      <c r="O1330" s="251" t="str">
        <f t="shared" si="215"/>
        <v/>
      </c>
      <c r="P1330" s="251" t="str">
        <f t="shared" si="216"/>
        <v/>
      </c>
      <c r="Q1330" s="251" t="str">
        <f t="shared" si="217"/>
        <v/>
      </c>
      <c r="R1330" s="251" t="str">
        <f t="shared" si="218"/>
        <v/>
      </c>
      <c r="S1330" s="252" t="str">
        <f t="shared" si="219"/>
        <v/>
      </c>
      <c r="T1330" s="253"/>
      <c r="U1330" s="298">
        <v>2.5000000000000001E-2</v>
      </c>
      <c r="V1330" s="298">
        <v>0</v>
      </c>
      <c r="W1330" s="298">
        <v>0</v>
      </c>
      <c r="X1330" s="298">
        <v>0</v>
      </c>
      <c r="Y1330" s="298">
        <v>0</v>
      </c>
      <c r="Z1330" s="298">
        <v>0</v>
      </c>
    </row>
    <row r="1331" spans="13:26" x14ac:dyDescent="0.35">
      <c r="M1331" s="300">
        <v>791</v>
      </c>
      <c r="N1331" s="251" t="str">
        <f t="shared" si="214"/>
        <v/>
      </c>
      <c r="O1331" s="251" t="str">
        <f t="shared" si="215"/>
        <v/>
      </c>
      <c r="P1331" s="251" t="str">
        <f t="shared" si="216"/>
        <v/>
      </c>
      <c r="Q1331" s="251" t="str">
        <f t="shared" si="217"/>
        <v/>
      </c>
      <c r="R1331" s="251" t="str">
        <f t="shared" si="218"/>
        <v/>
      </c>
      <c r="S1331" s="252" t="str">
        <f t="shared" si="219"/>
        <v/>
      </c>
      <c r="T1331" s="253"/>
      <c r="U1331" s="298">
        <v>3.5000000000000003E-2</v>
      </c>
      <c r="V1331" s="298">
        <v>8.0000000000000002E-3</v>
      </c>
      <c r="W1331" s="298">
        <v>0</v>
      </c>
      <c r="X1331" s="298">
        <v>0</v>
      </c>
      <c r="Y1331" s="298">
        <v>0</v>
      </c>
      <c r="Z1331" s="298">
        <v>0</v>
      </c>
    </row>
    <row r="1332" spans="13:26" x14ac:dyDescent="0.35">
      <c r="M1332" s="300">
        <v>833</v>
      </c>
      <c r="N1332" s="251" t="str">
        <f t="shared" si="214"/>
        <v/>
      </c>
      <c r="O1332" s="251" t="str">
        <f t="shared" si="215"/>
        <v/>
      </c>
      <c r="P1332" s="251" t="str">
        <f t="shared" si="216"/>
        <v/>
      </c>
      <c r="Q1332" s="251" t="str">
        <f t="shared" si="217"/>
        <v/>
      </c>
      <c r="R1332" s="251" t="str">
        <f t="shared" si="218"/>
        <v/>
      </c>
      <c r="S1332" s="252" t="str">
        <f t="shared" si="219"/>
        <v/>
      </c>
      <c r="T1332" s="253"/>
      <c r="U1332" s="298">
        <v>4.1000000000000002E-2</v>
      </c>
      <c r="V1332" s="298">
        <v>1.4E-2</v>
      </c>
      <c r="W1332" s="298">
        <v>8.0000000000000002E-3</v>
      </c>
      <c r="X1332" s="298">
        <v>0</v>
      </c>
      <c r="Y1332" s="298">
        <v>0</v>
      </c>
      <c r="Z1332" s="298">
        <v>0</v>
      </c>
    </row>
    <row r="1333" spans="13:26" x14ac:dyDescent="0.35">
      <c r="M1333" s="300">
        <v>883</v>
      </c>
      <c r="N1333" s="251" t="str">
        <f t="shared" si="214"/>
        <v/>
      </c>
      <c r="O1333" s="251" t="str">
        <f t="shared" si="215"/>
        <v/>
      </c>
      <c r="P1333" s="251" t="str">
        <f t="shared" si="216"/>
        <v/>
      </c>
      <c r="Q1333" s="251" t="str">
        <f t="shared" si="217"/>
        <v/>
      </c>
      <c r="R1333" s="251" t="str">
        <f t="shared" si="218"/>
        <v/>
      </c>
      <c r="S1333" s="252" t="str">
        <f t="shared" si="219"/>
        <v/>
      </c>
      <c r="T1333" s="253"/>
      <c r="U1333" s="298">
        <v>4.8000000000000001E-2</v>
      </c>
      <c r="V1333" s="298">
        <v>2.8000000000000001E-2</v>
      </c>
      <c r="W1333" s="298">
        <v>0.01</v>
      </c>
      <c r="X1333" s="298">
        <v>0</v>
      </c>
      <c r="Y1333" s="298">
        <v>0</v>
      </c>
      <c r="Z1333" s="298">
        <v>0</v>
      </c>
    </row>
    <row r="1334" spans="13:26" x14ac:dyDescent="0.35">
      <c r="M1334" s="300">
        <v>971</v>
      </c>
      <c r="N1334" s="251" t="str">
        <f t="shared" si="214"/>
        <v/>
      </c>
      <c r="O1334" s="251" t="str">
        <f t="shared" si="215"/>
        <v/>
      </c>
      <c r="P1334" s="251" t="str">
        <f t="shared" si="216"/>
        <v/>
      </c>
      <c r="Q1334" s="251" t="str">
        <f t="shared" si="217"/>
        <v/>
      </c>
      <c r="R1334" s="251" t="str">
        <f t="shared" si="218"/>
        <v/>
      </c>
      <c r="S1334" s="252" t="str">
        <f t="shared" si="219"/>
        <v/>
      </c>
      <c r="T1334" s="253"/>
      <c r="U1334" s="298">
        <v>5.2999999999999999E-2</v>
      </c>
      <c r="V1334" s="298">
        <v>3.4000000000000002E-2</v>
      </c>
      <c r="W1334" s="298">
        <v>2.1999999999999999E-2</v>
      </c>
      <c r="X1334" s="298">
        <v>0</v>
      </c>
      <c r="Y1334" s="298">
        <v>0</v>
      </c>
      <c r="Z1334" s="298">
        <v>0</v>
      </c>
    </row>
    <row r="1335" spans="13:26" x14ac:dyDescent="0.35">
      <c r="M1335" s="300">
        <v>1077</v>
      </c>
      <c r="N1335" s="251" t="str">
        <f t="shared" si="214"/>
        <v/>
      </c>
      <c r="O1335" s="251" t="str">
        <f t="shared" si="215"/>
        <v/>
      </c>
      <c r="P1335" s="251" t="str">
        <f t="shared" si="216"/>
        <v/>
      </c>
      <c r="Q1335" s="251" t="str">
        <f t="shared" si="217"/>
        <v/>
      </c>
      <c r="R1335" s="251" t="str">
        <f t="shared" si="218"/>
        <v/>
      </c>
      <c r="S1335" s="252" t="str">
        <f t="shared" si="219"/>
        <v/>
      </c>
      <c r="T1335" s="253"/>
      <c r="U1335" s="298">
        <v>6.2E-2</v>
      </c>
      <c r="V1335" s="298">
        <v>4.2000000000000003E-2</v>
      </c>
      <c r="W1335" s="298">
        <v>2.9000000000000001E-2</v>
      </c>
      <c r="X1335" s="298">
        <v>8.9999999999999993E-3</v>
      </c>
      <c r="Y1335" s="298">
        <v>0</v>
      </c>
      <c r="Z1335" s="298">
        <v>0</v>
      </c>
    </row>
    <row r="1336" spans="13:26" x14ac:dyDescent="0.35">
      <c r="M1336" s="300">
        <v>1221</v>
      </c>
      <c r="N1336" s="251" t="str">
        <f t="shared" si="214"/>
        <v/>
      </c>
      <c r="O1336" s="251" t="str">
        <f t="shared" si="215"/>
        <v/>
      </c>
      <c r="P1336" s="251" t="str">
        <f t="shared" si="216"/>
        <v/>
      </c>
      <c r="Q1336" s="251" t="str">
        <f t="shared" si="217"/>
        <v/>
      </c>
      <c r="R1336" s="251" t="str">
        <f t="shared" si="218"/>
        <v/>
      </c>
      <c r="S1336" s="252" t="str">
        <f t="shared" si="219"/>
        <v/>
      </c>
      <c r="T1336" s="253"/>
      <c r="U1336" s="298">
        <v>7.0000000000000007E-2</v>
      </c>
      <c r="V1336" s="298">
        <v>5.2999999999999999E-2</v>
      </c>
      <c r="W1336" s="298">
        <v>3.5999999999999997E-2</v>
      </c>
      <c r="X1336" s="298">
        <v>1.6E-2</v>
      </c>
      <c r="Y1336" s="298">
        <v>2E-3</v>
      </c>
      <c r="Z1336" s="298">
        <v>0</v>
      </c>
    </row>
    <row r="1337" spans="13:26" x14ac:dyDescent="0.35">
      <c r="M1337" s="300">
        <v>1399</v>
      </c>
      <c r="N1337" s="251" t="str">
        <f t="shared" si="214"/>
        <v/>
      </c>
      <c r="O1337" s="251" t="str">
        <f t="shared" si="215"/>
        <v/>
      </c>
      <c r="P1337" s="251" t="str">
        <f t="shared" si="216"/>
        <v/>
      </c>
      <c r="Q1337" s="251" t="str">
        <f t="shared" si="217"/>
        <v/>
      </c>
      <c r="R1337" s="251" t="str">
        <f t="shared" si="218"/>
        <v/>
      </c>
      <c r="S1337" s="252" t="str">
        <f t="shared" si="219"/>
        <v/>
      </c>
      <c r="T1337" s="253"/>
      <c r="U1337" s="298">
        <v>8.1000000000000003E-2</v>
      </c>
      <c r="V1337" s="298">
        <v>6.8000000000000005E-2</v>
      </c>
      <c r="W1337" s="298">
        <v>5.3999999999999999E-2</v>
      </c>
      <c r="X1337" s="298">
        <v>3.4000000000000002E-2</v>
      </c>
      <c r="Y1337" s="298">
        <v>0.02</v>
      </c>
      <c r="Z1337" s="298">
        <v>1.4E-2</v>
      </c>
    </row>
    <row r="1338" spans="13:26" x14ac:dyDescent="0.35">
      <c r="M1338" s="300">
        <v>1624</v>
      </c>
      <c r="N1338" s="251">
        <f t="shared" si="214"/>
        <v>8.8999999999999996E-2</v>
      </c>
      <c r="O1338" s="251">
        <f t="shared" si="215"/>
        <v>7.5999999999999998E-2</v>
      </c>
      <c r="P1338" s="251">
        <f t="shared" si="216"/>
        <v>6.2E-2</v>
      </c>
      <c r="Q1338" s="251">
        <f t="shared" si="217"/>
        <v>4.8000000000000001E-2</v>
      </c>
      <c r="R1338" s="251">
        <f t="shared" si="218"/>
        <v>3.5000000000000003E-2</v>
      </c>
      <c r="S1338" s="252">
        <f t="shared" si="219"/>
        <v>2.1000000000000001E-2</v>
      </c>
      <c r="T1338" s="253"/>
      <c r="U1338" s="298">
        <v>8.8999999999999996E-2</v>
      </c>
      <c r="V1338" s="298">
        <v>7.5999999999999998E-2</v>
      </c>
      <c r="W1338" s="298">
        <v>6.2E-2</v>
      </c>
      <c r="X1338" s="298">
        <v>4.8000000000000001E-2</v>
      </c>
      <c r="Y1338" s="298">
        <v>3.5000000000000003E-2</v>
      </c>
      <c r="Z1338" s="298">
        <v>2.1000000000000001E-2</v>
      </c>
    </row>
    <row r="1339" spans="13:26" x14ac:dyDescent="0.35">
      <c r="M1339" s="300">
        <v>1727</v>
      </c>
      <c r="N1339" s="251" t="str">
        <f t="shared" si="214"/>
        <v/>
      </c>
      <c r="O1339" s="251" t="str">
        <f t="shared" si="215"/>
        <v/>
      </c>
      <c r="P1339" s="251" t="str">
        <f t="shared" si="216"/>
        <v/>
      </c>
      <c r="Q1339" s="251" t="str">
        <f t="shared" si="217"/>
        <v/>
      </c>
      <c r="R1339" s="251" t="str">
        <f t="shared" si="218"/>
        <v/>
      </c>
      <c r="S1339" s="252" t="str">
        <f t="shared" si="219"/>
        <v/>
      </c>
      <c r="T1339" s="253"/>
      <c r="U1339" s="298">
        <v>0.1</v>
      </c>
      <c r="V1339" s="298">
        <v>8.6999999999999994E-2</v>
      </c>
      <c r="W1339" s="298">
        <v>0.08</v>
      </c>
      <c r="X1339" s="298">
        <v>5.8999999999999997E-2</v>
      </c>
      <c r="Y1339" s="298">
        <v>4.4999999999999998E-2</v>
      </c>
      <c r="Z1339" s="298">
        <v>3.9E-2</v>
      </c>
    </row>
    <row r="1340" spans="13:26" x14ac:dyDescent="0.35">
      <c r="M1340" s="300">
        <v>1843</v>
      </c>
      <c r="N1340" s="251" t="str">
        <f t="shared" si="214"/>
        <v/>
      </c>
      <c r="O1340" s="251" t="str">
        <f t="shared" si="215"/>
        <v/>
      </c>
      <c r="P1340" s="251" t="str">
        <f t="shared" si="216"/>
        <v/>
      </c>
      <c r="Q1340" s="251" t="str">
        <f t="shared" si="217"/>
        <v/>
      </c>
      <c r="R1340" s="251" t="str">
        <f t="shared" si="218"/>
        <v/>
      </c>
      <c r="S1340" s="252" t="str">
        <f t="shared" si="219"/>
        <v/>
      </c>
      <c r="T1340" s="253"/>
      <c r="U1340" s="298">
        <v>0.107</v>
      </c>
      <c r="V1340" s="298">
        <v>9.6000000000000002E-2</v>
      </c>
      <c r="W1340" s="298">
        <v>0.09</v>
      </c>
      <c r="X1340" s="298">
        <v>6.9000000000000006E-2</v>
      </c>
      <c r="Y1340" s="298">
        <v>5.6000000000000001E-2</v>
      </c>
      <c r="Z1340" s="298">
        <v>0.05</v>
      </c>
    </row>
    <row r="1341" spans="13:26" x14ac:dyDescent="0.35">
      <c r="M1341" s="300">
        <v>1992</v>
      </c>
      <c r="N1341" s="251" t="str">
        <f t="shared" si="214"/>
        <v/>
      </c>
      <c r="O1341" s="251" t="str">
        <f t="shared" si="215"/>
        <v/>
      </c>
      <c r="P1341" s="251" t="str">
        <f t="shared" si="216"/>
        <v/>
      </c>
      <c r="Q1341" s="251" t="str">
        <f t="shared" si="217"/>
        <v/>
      </c>
      <c r="R1341" s="251" t="str">
        <f t="shared" si="218"/>
        <v/>
      </c>
      <c r="S1341" s="252" t="str">
        <f t="shared" si="219"/>
        <v/>
      </c>
      <c r="T1341" s="253"/>
      <c r="U1341" s="298">
        <v>0.115</v>
      </c>
      <c r="V1341" s="298">
        <v>0.10199999999999999</v>
      </c>
      <c r="W1341" s="298">
        <v>9.6000000000000002E-2</v>
      </c>
      <c r="X1341" s="298">
        <v>7.5999999999999998E-2</v>
      </c>
      <c r="Y1341" s="298">
        <v>7.0999999999999994E-2</v>
      </c>
      <c r="Z1341" s="298">
        <v>5.7000000000000002E-2</v>
      </c>
    </row>
    <row r="1342" spans="13:26" x14ac:dyDescent="0.35">
      <c r="M1342" s="300">
        <v>2150</v>
      </c>
      <c r="N1342" s="251" t="str">
        <f t="shared" si="214"/>
        <v/>
      </c>
      <c r="O1342" s="251" t="str">
        <f t="shared" si="215"/>
        <v/>
      </c>
      <c r="P1342" s="251" t="str">
        <f t="shared" si="216"/>
        <v/>
      </c>
      <c r="Q1342" s="251" t="str">
        <f t="shared" si="217"/>
        <v/>
      </c>
      <c r="R1342" s="251" t="str">
        <f t="shared" si="218"/>
        <v/>
      </c>
      <c r="S1342" s="252" t="str">
        <f t="shared" si="219"/>
        <v/>
      </c>
      <c r="T1342" s="253"/>
      <c r="U1342" s="298">
        <v>0.126</v>
      </c>
      <c r="V1342" s="298">
        <v>0.114</v>
      </c>
      <c r="W1342" s="298">
        <v>0.107</v>
      </c>
      <c r="X1342" s="298">
        <v>8.6999999999999994E-2</v>
      </c>
      <c r="Y1342" s="298">
        <v>8.1000000000000003E-2</v>
      </c>
      <c r="Z1342" s="298">
        <v>6.8000000000000005E-2</v>
      </c>
    </row>
    <row r="1343" spans="13:26" x14ac:dyDescent="0.35">
      <c r="M1343" s="300">
        <v>2339</v>
      </c>
      <c r="N1343" s="251" t="str">
        <f t="shared" si="214"/>
        <v/>
      </c>
      <c r="O1343" s="251" t="str">
        <f t="shared" si="215"/>
        <v/>
      </c>
      <c r="P1343" s="251" t="str">
        <f t="shared" si="216"/>
        <v/>
      </c>
      <c r="Q1343" s="251" t="str">
        <f t="shared" si="217"/>
        <v/>
      </c>
      <c r="R1343" s="251" t="str">
        <f t="shared" si="218"/>
        <v/>
      </c>
      <c r="S1343" s="252" t="str">
        <f t="shared" si="219"/>
        <v/>
      </c>
      <c r="T1343" s="253"/>
      <c r="U1343" s="298">
        <v>0.13400000000000001</v>
      </c>
      <c r="V1343" s="298">
        <v>0.129</v>
      </c>
      <c r="W1343" s="298">
        <v>0.11600000000000001</v>
      </c>
      <c r="X1343" s="298">
        <v>9.4E-2</v>
      </c>
      <c r="Y1343" s="298">
        <v>8.7999999999999995E-2</v>
      </c>
      <c r="Z1343" s="298">
        <v>7.4999999999999997E-2</v>
      </c>
    </row>
    <row r="1344" spans="13:26" x14ac:dyDescent="0.35">
      <c r="M1344" s="300">
        <v>2558</v>
      </c>
      <c r="N1344" s="251" t="str">
        <f t="shared" si="214"/>
        <v/>
      </c>
      <c r="O1344" s="251" t="str">
        <f t="shared" si="215"/>
        <v/>
      </c>
      <c r="P1344" s="251" t="str">
        <f t="shared" si="216"/>
        <v/>
      </c>
      <c r="Q1344" s="251" t="str">
        <f t="shared" si="217"/>
        <v/>
      </c>
      <c r="R1344" s="251" t="str">
        <f t="shared" si="218"/>
        <v/>
      </c>
      <c r="S1344" s="252" t="str">
        <f t="shared" si="219"/>
        <v/>
      </c>
      <c r="T1344" s="253"/>
      <c r="U1344" s="298">
        <v>0.14199999999999999</v>
      </c>
      <c r="V1344" s="298">
        <v>0.13600000000000001</v>
      </c>
      <c r="W1344" s="298">
        <v>0.123</v>
      </c>
      <c r="X1344" s="298">
        <v>0.11</v>
      </c>
      <c r="Y1344" s="298">
        <v>9.6000000000000002E-2</v>
      </c>
      <c r="Z1344" s="298">
        <v>9.0999999999999998E-2</v>
      </c>
    </row>
    <row r="1345" spans="13:26" x14ac:dyDescent="0.35">
      <c r="M1345" s="300">
        <v>2925</v>
      </c>
      <c r="N1345" s="251" t="str">
        <f t="shared" si="214"/>
        <v/>
      </c>
      <c r="O1345" s="251" t="str">
        <f t="shared" si="215"/>
        <v/>
      </c>
      <c r="P1345" s="251" t="str">
        <f t="shared" si="216"/>
        <v/>
      </c>
      <c r="Q1345" s="251" t="str">
        <f t="shared" si="217"/>
        <v/>
      </c>
      <c r="R1345" s="251" t="str">
        <f t="shared" si="218"/>
        <v/>
      </c>
      <c r="S1345" s="252" t="str">
        <f t="shared" si="219"/>
        <v/>
      </c>
      <c r="T1345" s="253"/>
      <c r="U1345" s="298">
        <v>0.15</v>
      </c>
      <c r="V1345" s="298">
        <v>0.14499999999999999</v>
      </c>
      <c r="W1345" s="298">
        <v>0.13100000000000001</v>
      </c>
      <c r="X1345" s="298">
        <v>0.11700000000000001</v>
      </c>
      <c r="Y1345" s="298">
        <v>0.104</v>
      </c>
      <c r="Z1345" s="298">
        <v>9.8000000000000004E-2</v>
      </c>
    </row>
    <row r="1346" spans="13:26" x14ac:dyDescent="0.35">
      <c r="M1346" s="300">
        <v>3345</v>
      </c>
      <c r="N1346" s="251" t="str">
        <f t="shared" si="214"/>
        <v/>
      </c>
      <c r="O1346" s="251" t="str">
        <f t="shared" si="215"/>
        <v/>
      </c>
      <c r="P1346" s="251" t="str">
        <f t="shared" si="216"/>
        <v/>
      </c>
      <c r="Q1346" s="251" t="str">
        <f t="shared" si="217"/>
        <v/>
      </c>
      <c r="R1346" s="251" t="str">
        <f t="shared" si="218"/>
        <v/>
      </c>
      <c r="S1346" s="252" t="str">
        <f t="shared" si="219"/>
        <v/>
      </c>
      <c r="T1346" s="253"/>
      <c r="U1346" s="298">
        <v>0.17299999999999999</v>
      </c>
      <c r="V1346" s="298">
        <v>0.17199999999999999</v>
      </c>
      <c r="W1346" s="298">
        <v>0.16</v>
      </c>
      <c r="X1346" s="298">
        <v>0.14899999999999999</v>
      </c>
      <c r="Y1346" s="298">
        <v>0.13800000000000001</v>
      </c>
      <c r="Z1346" s="298">
        <v>0.13500000000000001</v>
      </c>
    </row>
    <row r="1347" spans="13:26" x14ac:dyDescent="0.35">
      <c r="M1347" s="300">
        <v>3600</v>
      </c>
      <c r="N1347" s="251" t="str">
        <f t="shared" si="214"/>
        <v/>
      </c>
      <c r="O1347" s="251" t="str">
        <f t="shared" si="215"/>
        <v/>
      </c>
      <c r="P1347" s="251" t="str">
        <f t="shared" si="216"/>
        <v/>
      </c>
      <c r="Q1347" s="251" t="str">
        <f t="shared" si="217"/>
        <v/>
      </c>
      <c r="R1347" s="251" t="str">
        <f t="shared" si="218"/>
        <v/>
      </c>
      <c r="S1347" s="252" t="str">
        <f t="shared" si="219"/>
        <v/>
      </c>
      <c r="T1347" s="253"/>
      <c r="U1347" s="298">
        <v>0.18099999999999999</v>
      </c>
      <c r="V1347" s="298">
        <v>0.18</v>
      </c>
      <c r="W1347" s="298">
        <v>0.16900000000000001</v>
      </c>
      <c r="X1347" s="298">
        <v>0.157</v>
      </c>
      <c r="Y1347" s="298">
        <v>0.153</v>
      </c>
      <c r="Z1347" s="298">
        <v>0.14199999999999999</v>
      </c>
    </row>
    <row r="1348" spans="13:26" x14ac:dyDescent="0.35">
      <c r="M1348" s="300">
        <v>3870</v>
      </c>
      <c r="N1348" s="251" t="str">
        <f t="shared" si="214"/>
        <v/>
      </c>
      <c r="O1348" s="251" t="str">
        <f t="shared" si="215"/>
        <v/>
      </c>
      <c r="P1348" s="251" t="str">
        <f t="shared" si="216"/>
        <v/>
      </c>
      <c r="Q1348" s="251" t="str">
        <f t="shared" si="217"/>
        <v/>
      </c>
      <c r="R1348" s="251" t="str">
        <f t="shared" si="218"/>
        <v/>
      </c>
      <c r="S1348" s="252" t="str">
        <f t="shared" si="219"/>
        <v/>
      </c>
      <c r="T1348" s="253"/>
      <c r="U1348" s="298">
        <v>0.189</v>
      </c>
      <c r="V1348" s="298">
        <v>0.188</v>
      </c>
      <c r="W1348" s="298">
        <v>0.17699999999999999</v>
      </c>
      <c r="X1348" s="298">
        <v>0.16600000000000001</v>
      </c>
      <c r="Y1348" s="298">
        <v>0.161</v>
      </c>
      <c r="Z1348" s="298">
        <v>0.15</v>
      </c>
    </row>
    <row r="1349" spans="13:26" x14ac:dyDescent="0.35">
      <c r="M1349" s="300">
        <v>4197</v>
      </c>
      <c r="N1349" s="251" t="str">
        <f t="shared" si="214"/>
        <v/>
      </c>
      <c r="O1349" s="251" t="str">
        <f t="shared" si="215"/>
        <v/>
      </c>
      <c r="P1349" s="251" t="str">
        <f t="shared" si="216"/>
        <v/>
      </c>
      <c r="Q1349" s="251" t="str">
        <f t="shared" si="217"/>
        <v/>
      </c>
      <c r="R1349" s="251" t="str">
        <f t="shared" si="218"/>
        <v/>
      </c>
      <c r="S1349" s="252" t="str">
        <f t="shared" si="219"/>
        <v/>
      </c>
      <c r="T1349" s="253"/>
      <c r="U1349" s="298">
        <v>0.19700000000000001</v>
      </c>
      <c r="V1349" s="298">
        <v>0.19600000000000001</v>
      </c>
      <c r="W1349" s="298">
        <v>0.185</v>
      </c>
      <c r="X1349" s="298">
        <v>0.17399999999999999</v>
      </c>
      <c r="Y1349" s="298">
        <v>0.17100000000000001</v>
      </c>
      <c r="Z1349" s="298">
        <v>0.16600000000000001</v>
      </c>
    </row>
    <row r="1350" spans="13:26" x14ac:dyDescent="0.35">
      <c r="M1350" s="300">
        <v>4590</v>
      </c>
      <c r="N1350" s="251" t="str">
        <f t="shared" si="214"/>
        <v/>
      </c>
      <c r="O1350" s="251" t="str">
        <f t="shared" si="215"/>
        <v/>
      </c>
      <c r="P1350" s="251" t="str">
        <f t="shared" si="216"/>
        <v/>
      </c>
      <c r="Q1350" s="251" t="str">
        <f t="shared" si="217"/>
        <v/>
      </c>
      <c r="R1350" s="251" t="str">
        <f t="shared" si="218"/>
        <v/>
      </c>
      <c r="S1350" s="252" t="str">
        <f t="shared" si="219"/>
        <v/>
      </c>
      <c r="T1350" s="253"/>
      <c r="U1350" s="298">
        <v>0.20799999999999999</v>
      </c>
      <c r="V1350" s="298">
        <v>0.20399999999999999</v>
      </c>
      <c r="W1350" s="298">
        <v>0.193</v>
      </c>
      <c r="X1350" s="298">
        <v>0.182</v>
      </c>
      <c r="Y1350" s="298">
        <v>0.17899999999999999</v>
      </c>
      <c r="Z1350" s="298">
        <v>0.17499999999999999</v>
      </c>
    </row>
    <row r="1351" spans="13:26" x14ac:dyDescent="0.35">
      <c r="M1351" s="300">
        <v>5060</v>
      </c>
      <c r="N1351" s="251" t="str">
        <f t="shared" si="214"/>
        <v/>
      </c>
      <c r="O1351" s="251" t="str">
        <f t="shared" si="215"/>
        <v/>
      </c>
      <c r="P1351" s="251" t="str">
        <f t="shared" si="216"/>
        <v/>
      </c>
      <c r="Q1351" s="251" t="str">
        <f t="shared" si="217"/>
        <v/>
      </c>
      <c r="R1351" s="251" t="str">
        <f t="shared" si="218"/>
        <v/>
      </c>
      <c r="S1351" s="252" t="str">
        <f t="shared" si="219"/>
        <v/>
      </c>
      <c r="T1351" s="253"/>
      <c r="U1351" s="298">
        <v>0.216</v>
      </c>
      <c r="V1351" s="298">
        <v>0.21199999999999999</v>
      </c>
      <c r="W1351" s="298">
        <v>0.20799999999999999</v>
      </c>
      <c r="X1351" s="298">
        <v>0.19</v>
      </c>
      <c r="Y1351" s="298">
        <v>0.186</v>
      </c>
      <c r="Z1351" s="298">
        <v>0.183</v>
      </c>
    </row>
    <row r="1352" spans="13:26" x14ac:dyDescent="0.35">
      <c r="M1352" s="300">
        <v>5637</v>
      </c>
      <c r="N1352" s="251" t="str">
        <f t="shared" si="214"/>
        <v/>
      </c>
      <c r="O1352" s="251" t="str">
        <f t="shared" si="215"/>
        <v/>
      </c>
      <c r="P1352" s="251" t="str">
        <f t="shared" si="216"/>
        <v/>
      </c>
      <c r="Q1352" s="251" t="str">
        <f t="shared" si="217"/>
        <v/>
      </c>
      <c r="R1352" s="251" t="str">
        <f t="shared" si="218"/>
        <v/>
      </c>
      <c r="S1352" s="252" t="str">
        <f t="shared" si="219"/>
        <v/>
      </c>
      <c r="T1352" s="253"/>
      <c r="U1352" s="298">
        <v>0.224</v>
      </c>
      <c r="V1352" s="298">
        <v>0.219</v>
      </c>
      <c r="W1352" s="298">
        <v>0.216</v>
      </c>
      <c r="X1352" s="298">
        <v>0.19700000000000001</v>
      </c>
      <c r="Y1352" s="298">
        <v>0.19400000000000001</v>
      </c>
      <c r="Z1352" s="298">
        <v>0.191</v>
      </c>
    </row>
    <row r="1353" spans="13:26" x14ac:dyDescent="0.35">
      <c r="M1353" s="300">
        <v>6361</v>
      </c>
      <c r="N1353" s="251" t="str">
        <f t="shared" si="214"/>
        <v/>
      </c>
      <c r="O1353" s="251" t="str">
        <f t="shared" si="215"/>
        <v/>
      </c>
      <c r="P1353" s="251" t="str">
        <f t="shared" si="216"/>
        <v/>
      </c>
      <c r="Q1353" s="251" t="str">
        <f t="shared" si="217"/>
        <v/>
      </c>
      <c r="R1353" s="251" t="str">
        <f t="shared" si="218"/>
        <v/>
      </c>
      <c r="S1353" s="252" t="str">
        <f t="shared" si="219"/>
        <v/>
      </c>
      <c r="T1353" s="253"/>
      <c r="U1353" s="298">
        <v>0.23200000000000001</v>
      </c>
      <c r="V1353" s="298">
        <v>0.22700000000000001</v>
      </c>
      <c r="W1353" s="298">
        <v>0.224</v>
      </c>
      <c r="X1353" s="298">
        <v>0.20499999999999999</v>
      </c>
      <c r="Y1353" s="298">
        <v>0.20200000000000001</v>
      </c>
      <c r="Z1353" s="298">
        <v>0.19900000000000001</v>
      </c>
    </row>
    <row r="1354" spans="13:26" x14ac:dyDescent="0.35">
      <c r="M1354" s="300">
        <v>7301</v>
      </c>
      <c r="N1354" s="251" t="str">
        <f t="shared" si="214"/>
        <v/>
      </c>
      <c r="O1354" s="251" t="str">
        <f t="shared" si="215"/>
        <v/>
      </c>
      <c r="P1354" s="251" t="str">
        <f t="shared" si="216"/>
        <v/>
      </c>
      <c r="Q1354" s="251" t="str">
        <f t="shared" si="217"/>
        <v/>
      </c>
      <c r="R1354" s="251" t="str">
        <f t="shared" si="218"/>
        <v/>
      </c>
      <c r="S1354" s="252" t="str">
        <f t="shared" si="219"/>
        <v/>
      </c>
      <c r="T1354" s="253"/>
      <c r="U1354" s="298">
        <v>0.24399999999999999</v>
      </c>
      <c r="V1354" s="298">
        <v>0.24299999999999999</v>
      </c>
      <c r="W1354" s="298">
        <v>0.23899999999999999</v>
      </c>
      <c r="X1354" s="298">
        <v>0.222</v>
      </c>
      <c r="Y1354" s="298">
        <v>0.22</v>
      </c>
      <c r="Z1354" s="298">
        <v>0.218</v>
      </c>
    </row>
    <row r="1355" spans="13:26" x14ac:dyDescent="0.35">
      <c r="M1355" s="300">
        <v>8415</v>
      </c>
      <c r="N1355" s="251" t="str">
        <f t="shared" si="214"/>
        <v/>
      </c>
      <c r="O1355" s="251" t="str">
        <f t="shared" si="215"/>
        <v/>
      </c>
      <c r="P1355" s="251" t="str">
        <f t="shared" si="216"/>
        <v/>
      </c>
      <c r="Q1355" s="251" t="str">
        <f t="shared" si="217"/>
        <v/>
      </c>
      <c r="R1355" s="251" t="str">
        <f t="shared" si="218"/>
        <v/>
      </c>
      <c r="S1355" s="252" t="str">
        <f t="shared" si="219"/>
        <v/>
      </c>
      <c r="T1355" s="253"/>
      <c r="U1355" s="298">
        <v>0.252</v>
      </c>
      <c r="V1355" s="298">
        <v>0.251</v>
      </c>
      <c r="W1355" s="298">
        <v>0.25</v>
      </c>
      <c r="X1355" s="298">
        <v>0.23799999999999999</v>
      </c>
      <c r="Y1355" s="298">
        <v>0.22800000000000001</v>
      </c>
      <c r="Z1355" s="298">
        <v>0.22600000000000001</v>
      </c>
    </row>
    <row r="1356" spans="13:26" x14ac:dyDescent="0.35">
      <c r="M1356" s="300">
        <v>9308</v>
      </c>
      <c r="N1356" s="251" t="str">
        <f t="shared" si="214"/>
        <v/>
      </c>
      <c r="O1356" s="251" t="str">
        <f t="shared" si="215"/>
        <v/>
      </c>
      <c r="P1356" s="251" t="str">
        <f t="shared" si="216"/>
        <v/>
      </c>
      <c r="Q1356" s="251" t="str">
        <f t="shared" si="217"/>
        <v/>
      </c>
      <c r="R1356" s="251" t="str">
        <f t="shared" si="218"/>
        <v/>
      </c>
      <c r="S1356" s="252" t="str">
        <f t="shared" si="219"/>
        <v/>
      </c>
      <c r="T1356" s="253"/>
      <c r="U1356" s="298">
        <v>0.26400000000000001</v>
      </c>
      <c r="V1356" s="298">
        <v>0.26300000000000001</v>
      </c>
      <c r="W1356" s="298">
        <v>0.26200000000000001</v>
      </c>
      <c r="X1356" s="298">
        <v>0.252</v>
      </c>
      <c r="Y1356" s="298">
        <v>0.24</v>
      </c>
      <c r="Z1356" s="298">
        <v>0.23799999999999999</v>
      </c>
    </row>
    <row r="1357" spans="13:26" x14ac:dyDescent="0.35">
      <c r="M1357" s="300">
        <v>10416</v>
      </c>
      <c r="N1357" s="251" t="str">
        <f t="shared" si="214"/>
        <v/>
      </c>
      <c r="O1357" s="251" t="str">
        <f t="shared" si="215"/>
        <v/>
      </c>
      <c r="P1357" s="251" t="str">
        <f t="shared" si="216"/>
        <v/>
      </c>
      <c r="Q1357" s="251" t="str">
        <f t="shared" si="217"/>
        <v/>
      </c>
      <c r="R1357" s="251" t="str">
        <f t="shared" si="218"/>
        <v/>
      </c>
      <c r="S1357" s="252" t="str">
        <f t="shared" si="219"/>
        <v/>
      </c>
      <c r="T1357" s="253"/>
      <c r="U1357" s="298">
        <v>0.27200000000000002</v>
      </c>
      <c r="V1357" s="298">
        <v>0.27100000000000002</v>
      </c>
      <c r="W1357" s="298">
        <v>0.27</v>
      </c>
      <c r="X1357" s="298">
        <v>0.26</v>
      </c>
      <c r="Y1357" s="298">
        <v>0.25800000000000001</v>
      </c>
      <c r="Z1357" s="298">
        <v>0.246</v>
      </c>
    </row>
    <row r="1358" spans="13:26" x14ac:dyDescent="0.35">
      <c r="M1358" s="300">
        <v>13971</v>
      </c>
      <c r="N1358" s="251" t="str">
        <f t="shared" si="214"/>
        <v/>
      </c>
      <c r="O1358" s="251" t="str">
        <f t="shared" si="215"/>
        <v/>
      </c>
      <c r="P1358" s="251" t="str">
        <f t="shared" si="216"/>
        <v/>
      </c>
      <c r="Q1358" s="251" t="str">
        <f t="shared" si="217"/>
        <v/>
      </c>
      <c r="R1358" s="251" t="str">
        <f t="shared" si="218"/>
        <v/>
      </c>
      <c r="S1358" s="252" t="str">
        <f t="shared" si="219"/>
        <v/>
      </c>
      <c r="T1358" s="253"/>
      <c r="U1358" s="298">
        <v>0.28199999999999997</v>
      </c>
      <c r="V1358" s="298">
        <v>0.28199999999999997</v>
      </c>
      <c r="W1358" s="298">
        <v>0.27800000000000002</v>
      </c>
      <c r="X1358" s="298">
        <v>0.26800000000000002</v>
      </c>
      <c r="Y1358" s="298">
        <v>0.26600000000000001</v>
      </c>
      <c r="Z1358" s="298">
        <v>0.25700000000000001</v>
      </c>
    </row>
    <row r="1359" spans="13:26" x14ac:dyDescent="0.35">
      <c r="M1359" s="300">
        <v>20057</v>
      </c>
      <c r="N1359" s="251" t="str">
        <f t="shared" si="214"/>
        <v/>
      </c>
      <c r="O1359" s="251" t="str">
        <f t="shared" si="215"/>
        <v/>
      </c>
      <c r="P1359" s="251" t="str">
        <f t="shared" si="216"/>
        <v/>
      </c>
      <c r="Q1359" s="251" t="str">
        <f t="shared" si="217"/>
        <v/>
      </c>
      <c r="R1359" s="251" t="str">
        <f t="shared" si="218"/>
        <v/>
      </c>
      <c r="S1359" s="252" t="str">
        <f t="shared" si="219"/>
        <v/>
      </c>
      <c r="T1359" s="253"/>
      <c r="U1359" s="298">
        <v>0.29799999999999999</v>
      </c>
      <c r="V1359" s="298">
        <v>0.29799999999999999</v>
      </c>
      <c r="W1359" s="298">
        <v>0.29699999999999999</v>
      </c>
      <c r="X1359" s="298">
        <v>0.28799999999999998</v>
      </c>
      <c r="Y1359" s="298">
        <v>0.28599999999999998</v>
      </c>
      <c r="Z1359" s="298">
        <v>0.27700000000000002</v>
      </c>
    </row>
    <row r="1360" spans="13:26" x14ac:dyDescent="0.35">
      <c r="M1360" s="300">
        <v>22680</v>
      </c>
      <c r="N1360" s="251" t="str">
        <f t="shared" si="214"/>
        <v/>
      </c>
      <c r="O1360" s="251" t="str">
        <f t="shared" si="215"/>
        <v/>
      </c>
      <c r="P1360" s="251" t="str">
        <f t="shared" si="216"/>
        <v/>
      </c>
      <c r="Q1360" s="251" t="str">
        <f t="shared" si="217"/>
        <v/>
      </c>
      <c r="R1360" s="251" t="str">
        <f t="shared" si="218"/>
        <v/>
      </c>
      <c r="S1360" s="252" t="str">
        <f t="shared" si="219"/>
        <v/>
      </c>
      <c r="T1360" s="253"/>
      <c r="U1360" s="298">
        <v>0.30599999999999999</v>
      </c>
      <c r="V1360" s="298">
        <v>0.30599999999999999</v>
      </c>
      <c r="W1360" s="298">
        <v>0.30499999999999999</v>
      </c>
      <c r="X1360" s="298">
        <v>0.29899999999999999</v>
      </c>
      <c r="Y1360" s="298">
        <v>0.29399999999999998</v>
      </c>
      <c r="Z1360" s="298">
        <v>0.28499999999999998</v>
      </c>
    </row>
    <row r="1361" spans="13:26" x14ac:dyDescent="0.35">
      <c r="M1361" s="300">
        <v>25200</v>
      </c>
      <c r="N1361" s="251" t="str">
        <f t="shared" si="214"/>
        <v/>
      </c>
      <c r="O1361" s="251" t="str">
        <f t="shared" si="215"/>
        <v/>
      </c>
      <c r="P1361" s="251" t="str">
        <f t="shared" si="216"/>
        <v/>
      </c>
      <c r="Q1361" s="251" t="str">
        <f t="shared" si="217"/>
        <v/>
      </c>
      <c r="R1361" s="251" t="str">
        <f t="shared" si="218"/>
        <v/>
      </c>
      <c r="S1361" s="252" t="str">
        <f t="shared" si="219"/>
        <v/>
      </c>
      <c r="T1361" s="253"/>
      <c r="U1361" s="298">
        <v>0.314</v>
      </c>
      <c r="V1361" s="298">
        <v>0.314</v>
      </c>
      <c r="W1361" s="298">
        <v>0.313</v>
      </c>
      <c r="X1361" s="298">
        <v>0.307</v>
      </c>
      <c r="Y1361" s="298">
        <v>0.30599999999999999</v>
      </c>
      <c r="Z1361" s="298">
        <v>0.29299999999999998</v>
      </c>
    </row>
    <row r="1362" spans="13:26" x14ac:dyDescent="0.35">
      <c r="M1362" s="300">
        <v>28224</v>
      </c>
      <c r="N1362" s="251" t="str">
        <f t="shared" si="214"/>
        <v/>
      </c>
      <c r="O1362" s="251" t="str">
        <f t="shared" si="215"/>
        <v/>
      </c>
      <c r="P1362" s="251" t="str">
        <f t="shared" si="216"/>
        <v/>
      </c>
      <c r="Q1362" s="251" t="str">
        <f t="shared" si="217"/>
        <v/>
      </c>
      <c r="R1362" s="251" t="str">
        <f t="shared" si="218"/>
        <v/>
      </c>
      <c r="S1362" s="252" t="str">
        <f t="shared" si="219"/>
        <v/>
      </c>
      <c r="T1362" s="253"/>
      <c r="U1362" s="298">
        <v>0.32200000000000001</v>
      </c>
      <c r="V1362" s="298">
        <v>0.32200000000000001</v>
      </c>
      <c r="W1362" s="298">
        <v>0.32100000000000001</v>
      </c>
      <c r="X1362" s="298">
        <v>0.315</v>
      </c>
      <c r="Y1362" s="298">
        <v>0.314</v>
      </c>
      <c r="Z1362" s="298">
        <v>0.30399999999999999</v>
      </c>
    </row>
    <row r="1363" spans="13:26" x14ac:dyDescent="0.35">
      <c r="M1363" s="301">
        <v>28224</v>
      </c>
      <c r="N1363" s="251" t="str">
        <f>IF($R$11&gt;=M1362+0.01,U1363,"")</f>
        <v/>
      </c>
      <c r="O1363" s="251" t="str">
        <f>IF($R$11&gt;=M1362,V1363,"")</f>
        <v/>
      </c>
      <c r="P1363" s="251" t="str">
        <f>IF($R$11&gt;=M1362,W1363,"")</f>
        <v/>
      </c>
      <c r="Q1363" s="251" t="str">
        <f>IF($R$11&gt;=M1362,X1363,"")</f>
        <v/>
      </c>
      <c r="R1363" s="252" t="str">
        <f>IF($R$11&gt;=M1362,Y1363,"")</f>
        <v/>
      </c>
      <c r="S1363" s="251" t="str">
        <f>IF($R$11&gt;=M1362,Z1363,"")</f>
        <v/>
      </c>
      <c r="T1363" s="253"/>
      <c r="U1363" s="298">
        <v>0.33</v>
      </c>
      <c r="V1363" s="298">
        <v>0.33</v>
      </c>
      <c r="W1363" s="298">
        <v>0.32900000000000001</v>
      </c>
      <c r="X1363" s="298">
        <v>0.32300000000000001</v>
      </c>
      <c r="Y1363" s="298">
        <v>0.32200000000000001</v>
      </c>
      <c r="Z1363" s="298">
        <v>0.312</v>
      </c>
    </row>
    <row r="1364" spans="13:26" x14ac:dyDescent="0.35">
      <c r="M1364" s="249"/>
      <c r="N1364" s="257" t="str">
        <f>IF($A$15=2,IF($A$2=8,IF($I$2=0,SUM(N1327:N1363),""),""),"")</f>
        <v/>
      </c>
      <c r="O1364" s="258" t="str">
        <f>IF($A$15=2,IF($A$2=8,IF($I$2=1,SUM(O1327:O1363),""),""),"")</f>
        <v/>
      </c>
      <c r="P1364" s="258" t="str">
        <f>IF($A$15=2,IF($A$2=8,IF($I$2=2,SUM(P1327:P1363),""),""),"")</f>
        <v/>
      </c>
      <c r="Q1364" s="258" t="str">
        <f>IF($A$15=2,IF($A$2=8,IF($I$2=3,SUM(Q1327:Q1363),""),""),"")</f>
        <v/>
      </c>
      <c r="R1364" s="258" t="str">
        <f>IF($A$15=2,IF($A$2=8,IF($I$2=4,SUM(R1327:R1363),""),""),"")</f>
        <v/>
      </c>
      <c r="S1364" s="259" t="str">
        <f>IF($A$15=2,IF($A$2=8,IF($I$2=5,SUM(S1327:S1363),""),""),"")</f>
        <v/>
      </c>
      <c r="T1364" s="260">
        <f>SUM(N1364:S1364)</f>
        <v>0</v>
      </c>
      <c r="U1364" s="253"/>
      <c r="V1364" s="253"/>
      <c r="W1364" s="253"/>
      <c r="X1364" s="253"/>
      <c r="Y1364" s="253"/>
      <c r="Z1364" s="253"/>
    </row>
    <row r="1365" spans="13:26" x14ac:dyDescent="0.35">
      <c r="M1365" s="249"/>
      <c r="N1365" s="249"/>
      <c r="O1365" s="249"/>
      <c r="P1365" s="261"/>
      <c r="Q1365" s="261"/>
      <c r="R1365" s="261"/>
      <c r="S1365" s="249"/>
      <c r="T1365" s="253"/>
      <c r="U1365" s="253"/>
      <c r="V1365" s="253"/>
      <c r="W1365" s="253"/>
      <c r="X1365" s="253"/>
      <c r="Y1365" s="253"/>
      <c r="Z1365" s="253"/>
    </row>
    <row r="1366" spans="13:26" x14ac:dyDescent="0.35">
      <c r="M1366" s="262"/>
      <c r="N1366" s="249"/>
      <c r="O1366" s="249"/>
      <c r="P1366" s="249"/>
      <c r="Q1366" s="249"/>
      <c r="R1366" s="249"/>
      <c r="S1366" s="249"/>
      <c r="T1366" s="253"/>
      <c r="U1366" s="253"/>
      <c r="V1366" s="253"/>
      <c r="W1366" s="253"/>
      <c r="X1366" s="253"/>
      <c r="Y1366" s="253"/>
      <c r="Z1366" s="253"/>
    </row>
    <row r="1367" spans="13:26" x14ac:dyDescent="0.35">
      <c r="M1367" s="249"/>
      <c r="N1367" s="249"/>
      <c r="O1367" s="249"/>
      <c r="P1367" s="249"/>
      <c r="Q1367" s="249"/>
      <c r="R1367" s="249"/>
      <c r="S1367" s="249"/>
      <c r="T1367" s="253"/>
      <c r="U1367" s="253"/>
      <c r="V1367" s="253"/>
      <c r="W1367" s="253"/>
      <c r="X1367" s="253"/>
      <c r="Y1367" s="253"/>
      <c r="Z1367" s="253"/>
    </row>
    <row r="1368" spans="13:26" x14ac:dyDescent="0.35">
      <c r="M1368" s="263" t="s">
        <v>147</v>
      </c>
      <c r="N1368" s="272"/>
      <c r="O1368" s="273" t="s">
        <v>181</v>
      </c>
      <c r="P1368" s="283"/>
      <c r="Q1368" s="273"/>
      <c r="R1368" s="273"/>
      <c r="S1368" s="273"/>
      <c r="T1368" s="253"/>
      <c r="U1368" s="275" t="str">
        <f>O1368</f>
        <v>Tabelas de IRS de retenção na fonte referente a 2018 nos Açores</v>
      </c>
      <c r="V1368" s="253"/>
      <c r="W1368" s="253"/>
      <c r="X1368" s="253"/>
      <c r="Y1368" s="253"/>
      <c r="Z1368" s="253"/>
    </row>
    <row r="1369" spans="13:26" x14ac:dyDescent="0.35">
      <c r="M1369" s="297"/>
      <c r="N1369" s="273"/>
      <c r="O1369" s="273" t="s">
        <v>206</v>
      </c>
      <c r="P1369" s="297"/>
      <c r="Q1369" s="273"/>
      <c r="R1369" s="273"/>
      <c r="S1369" s="297"/>
      <c r="T1369" s="253"/>
      <c r="U1369" s="275"/>
      <c r="V1369" s="253"/>
      <c r="W1369" s="253"/>
      <c r="X1369" s="253"/>
      <c r="Y1369" s="253"/>
      <c r="Z1369" s="253"/>
    </row>
    <row r="1370" spans="13:26" x14ac:dyDescent="0.35">
      <c r="M1370" s="273"/>
      <c r="N1370" s="273"/>
      <c r="O1370" s="273" t="s">
        <v>180</v>
      </c>
      <c r="P1370" s="297"/>
      <c r="Q1370" s="273"/>
      <c r="R1370" s="273"/>
      <c r="S1370" s="297"/>
      <c r="T1370" s="253"/>
      <c r="U1370" s="275" t="str">
        <f>O1370</f>
        <v>CASADO DOIS TITULARES</v>
      </c>
      <c r="V1370" s="253"/>
      <c r="W1370" s="253"/>
      <c r="X1370" s="253"/>
      <c r="Y1370" s="253"/>
      <c r="Z1370" s="253"/>
    </row>
    <row r="1371" spans="13:26" x14ac:dyDescent="0.35">
      <c r="M1371" s="267" t="s">
        <v>154</v>
      </c>
      <c r="N1371" s="268" t="s">
        <v>155</v>
      </c>
      <c r="O1371" s="268" t="s">
        <v>156</v>
      </c>
      <c r="P1371" s="268" t="s">
        <v>157</v>
      </c>
      <c r="Q1371" s="268" t="s">
        <v>158</v>
      </c>
      <c r="R1371" s="268" t="s">
        <v>159</v>
      </c>
      <c r="S1371" s="268" t="s">
        <v>160</v>
      </c>
      <c r="T1371" s="253"/>
      <c r="U1371" s="269" t="str">
        <f t="shared" ref="U1371:Z1371" si="220">N1371</f>
        <v>0 dep</v>
      </c>
      <c r="V1371" s="269" t="str">
        <f t="shared" si="220"/>
        <v>1 dep</v>
      </c>
      <c r="W1371" s="269" t="str">
        <f t="shared" si="220"/>
        <v>2 dep</v>
      </c>
      <c r="X1371" s="269" t="str">
        <f t="shared" si="220"/>
        <v>3 dep</v>
      </c>
      <c r="Y1371" s="269" t="str">
        <f t="shared" si="220"/>
        <v>4 dep</v>
      </c>
      <c r="Z1371" s="269" t="str">
        <f t="shared" si="220"/>
        <v>5 dep. ou +</v>
      </c>
    </row>
    <row r="1372" spans="13:26" x14ac:dyDescent="0.35">
      <c r="M1372" s="250">
        <v>632</v>
      </c>
      <c r="N1372" s="251" t="str">
        <f>IF($R$11&lt;=M1372,IF($R$11&gt;=0,0,""),"")</f>
        <v/>
      </c>
      <c r="O1372" s="251" t="str">
        <f>IF($R$11&lt;=M1372,IF($R$11&gt;=0,0,""),"")</f>
        <v/>
      </c>
      <c r="P1372" s="251" t="str">
        <f>IF($R$11&lt;=M1372,IF($R$11&gt;=0,0,""),"")</f>
        <v/>
      </c>
      <c r="Q1372" s="251" t="str">
        <f>IF($R$11&lt;=M1372,IF($R$11&gt;=0,0,""),"")</f>
        <v/>
      </c>
      <c r="R1372" s="251" t="str">
        <f>IF($R$11&lt;=M1372,IF($R$11&gt;=0,0,""),"")</f>
        <v/>
      </c>
      <c r="S1372" s="251" t="str">
        <f>IF($R$11&lt;=M1372,IF($R$11&gt;=0,0,""),"")</f>
        <v/>
      </c>
      <c r="T1372" s="253"/>
      <c r="U1372" s="298">
        <v>0</v>
      </c>
      <c r="V1372" s="298">
        <v>0</v>
      </c>
      <c r="W1372" s="298">
        <v>0</v>
      </c>
      <c r="X1372" s="298">
        <v>0</v>
      </c>
      <c r="Y1372" s="298">
        <v>0</v>
      </c>
      <c r="Z1372" s="298">
        <v>0</v>
      </c>
    </row>
    <row r="1373" spans="13:26" x14ac:dyDescent="0.35">
      <c r="M1373" s="250">
        <v>645</v>
      </c>
      <c r="N1373" s="251" t="str">
        <f t="shared" ref="N1373:N1408" si="221">IF($R$11&lt;=M1373,IF($R$11&gt;=M1372+0.01,U1373,""),"")</f>
        <v/>
      </c>
      <c r="O1373" s="251" t="str">
        <f t="shared" ref="O1373:O1408" si="222">IF($R$11&lt;=M1373,IF($R$11&gt;=M1372+0.01,V1373,""),"")</f>
        <v/>
      </c>
      <c r="P1373" s="251" t="str">
        <f t="shared" ref="P1373:P1408" si="223">IF($R$11&lt;=M1373,IF($R$11&gt;=M1372+0.01,W1373,""),"")</f>
        <v/>
      </c>
      <c r="Q1373" s="251" t="str">
        <f t="shared" ref="Q1373:Q1408" si="224">IF($R$11&lt;=M1373,IF($R$11&gt;=M1372+0.01,X1373,""),"")</f>
        <v/>
      </c>
      <c r="R1373" s="251" t="str">
        <f t="shared" ref="R1373:R1408" si="225">IF($R$11&lt;=M1373,IF($R$11&gt;=M1372+0.01,Y1373,""),"")</f>
        <v/>
      </c>
      <c r="S1373" s="252" t="str">
        <f t="shared" ref="S1373:S1408" si="226">IF($R$11&lt;=M1373,IF($R$11&gt;=M1372+0.01,Z1373,""),"")</f>
        <v/>
      </c>
      <c r="T1373" s="253"/>
      <c r="U1373" s="298">
        <v>2.1000000000000001E-2</v>
      </c>
      <c r="V1373" s="298">
        <v>7.0000000000000001E-3</v>
      </c>
      <c r="W1373" s="298">
        <v>0</v>
      </c>
      <c r="X1373" s="298">
        <v>0</v>
      </c>
      <c r="Y1373" s="298">
        <v>0</v>
      </c>
      <c r="Z1373" s="298">
        <v>0</v>
      </c>
    </row>
    <row r="1374" spans="13:26" x14ac:dyDescent="0.35">
      <c r="M1374" s="250">
        <v>683</v>
      </c>
      <c r="N1374" s="251" t="str">
        <f t="shared" si="221"/>
        <v/>
      </c>
      <c r="O1374" s="251" t="str">
        <f t="shared" si="222"/>
        <v/>
      </c>
      <c r="P1374" s="251" t="str">
        <f t="shared" si="223"/>
        <v/>
      </c>
      <c r="Q1374" s="251" t="str">
        <f t="shared" si="224"/>
        <v/>
      </c>
      <c r="R1374" s="251" t="str">
        <f t="shared" si="225"/>
        <v/>
      </c>
      <c r="S1374" s="252" t="str">
        <f t="shared" si="226"/>
        <v/>
      </c>
      <c r="T1374" s="253"/>
      <c r="U1374" s="298">
        <v>0.04</v>
      </c>
      <c r="V1374" s="298">
        <v>0.02</v>
      </c>
      <c r="W1374" s="298">
        <v>1.4999999999999999E-2</v>
      </c>
      <c r="X1374" s="298">
        <v>0</v>
      </c>
      <c r="Y1374" s="298">
        <v>0</v>
      </c>
      <c r="Z1374" s="298">
        <v>0</v>
      </c>
    </row>
    <row r="1375" spans="13:26" x14ac:dyDescent="0.35">
      <c r="M1375" s="250">
        <v>736</v>
      </c>
      <c r="N1375" s="251" t="str">
        <f t="shared" si="221"/>
        <v/>
      </c>
      <c r="O1375" s="251" t="str">
        <f t="shared" si="222"/>
        <v/>
      </c>
      <c r="P1375" s="251" t="str">
        <f t="shared" si="223"/>
        <v/>
      </c>
      <c r="Q1375" s="251" t="str">
        <f t="shared" si="224"/>
        <v/>
      </c>
      <c r="R1375" s="251" t="str">
        <f t="shared" si="225"/>
        <v/>
      </c>
      <c r="S1375" s="252" t="str">
        <f t="shared" si="226"/>
        <v/>
      </c>
      <c r="T1375" s="253"/>
      <c r="U1375" s="298">
        <v>5.2999999999999999E-2</v>
      </c>
      <c r="V1375" s="298">
        <v>3.2000000000000001E-2</v>
      </c>
      <c r="W1375" s="298">
        <v>1.9E-2</v>
      </c>
      <c r="X1375" s="298">
        <v>6.0000000000000001E-3</v>
      </c>
      <c r="Y1375" s="298">
        <v>0</v>
      </c>
      <c r="Z1375" s="298">
        <v>0</v>
      </c>
    </row>
    <row r="1376" spans="13:26" x14ac:dyDescent="0.35">
      <c r="M1376" s="250">
        <v>811</v>
      </c>
      <c r="N1376" s="251" t="str">
        <f t="shared" si="221"/>
        <v/>
      </c>
      <c r="O1376" s="251" t="str">
        <f t="shared" si="222"/>
        <v/>
      </c>
      <c r="P1376" s="251" t="str">
        <f t="shared" si="223"/>
        <v/>
      </c>
      <c r="Q1376" s="251" t="str">
        <f t="shared" si="224"/>
        <v/>
      </c>
      <c r="R1376" s="251" t="str">
        <f t="shared" si="225"/>
        <v/>
      </c>
      <c r="S1376" s="252" t="str">
        <f t="shared" si="226"/>
        <v/>
      </c>
      <c r="T1376" s="253"/>
      <c r="U1376" s="298">
        <v>5.8999999999999997E-2</v>
      </c>
      <c r="V1376" s="298">
        <v>3.9E-2</v>
      </c>
      <c r="W1376" s="298">
        <v>2.5000000000000001E-2</v>
      </c>
      <c r="X1376" s="298">
        <v>1.9E-2</v>
      </c>
      <c r="Y1376" s="298">
        <v>6.0000000000000001E-3</v>
      </c>
      <c r="Z1376" s="298">
        <v>0</v>
      </c>
    </row>
    <row r="1377" spans="13:26" x14ac:dyDescent="0.35">
      <c r="M1377" s="250">
        <v>919</v>
      </c>
      <c r="N1377" s="251" t="str">
        <f t="shared" si="221"/>
        <v/>
      </c>
      <c r="O1377" s="251" t="str">
        <f t="shared" si="222"/>
        <v/>
      </c>
      <c r="P1377" s="251" t="str">
        <f t="shared" si="223"/>
        <v/>
      </c>
      <c r="Q1377" s="251" t="str">
        <f t="shared" si="224"/>
        <v/>
      </c>
      <c r="R1377" s="251" t="str">
        <f t="shared" si="225"/>
        <v/>
      </c>
      <c r="S1377" s="252" t="str">
        <f t="shared" si="226"/>
        <v/>
      </c>
      <c r="T1377" s="253"/>
      <c r="U1377" s="298">
        <v>7.3999999999999996E-2</v>
      </c>
      <c r="V1377" s="298">
        <v>5.5E-2</v>
      </c>
      <c r="W1377" s="298">
        <v>4.8000000000000001E-2</v>
      </c>
      <c r="X1377" s="298">
        <v>2.9000000000000001E-2</v>
      </c>
      <c r="Y1377" s="298">
        <v>2.3E-2</v>
      </c>
      <c r="Z1377" s="298">
        <v>0.01</v>
      </c>
    </row>
    <row r="1378" spans="13:26" x14ac:dyDescent="0.35">
      <c r="M1378" s="250">
        <v>1001</v>
      </c>
      <c r="N1378" s="251" t="str">
        <f t="shared" si="221"/>
        <v/>
      </c>
      <c r="O1378" s="251" t="str">
        <f t="shared" si="222"/>
        <v/>
      </c>
      <c r="P1378" s="251" t="str">
        <f t="shared" si="223"/>
        <v/>
      </c>
      <c r="Q1378" s="251" t="str">
        <f t="shared" si="224"/>
        <v/>
      </c>
      <c r="R1378" s="251" t="str">
        <f t="shared" si="225"/>
        <v/>
      </c>
      <c r="S1378" s="252" t="str">
        <f t="shared" si="226"/>
        <v/>
      </c>
      <c r="T1378" s="253"/>
      <c r="U1378" s="298">
        <v>8.3000000000000004E-2</v>
      </c>
      <c r="V1378" s="298">
        <v>6.4000000000000001E-2</v>
      </c>
      <c r="W1378" s="298">
        <v>5.8000000000000003E-2</v>
      </c>
      <c r="X1378" s="298">
        <v>3.9E-2</v>
      </c>
      <c r="Y1378" s="298">
        <v>3.3000000000000002E-2</v>
      </c>
      <c r="Z1378" s="298">
        <v>2.3E-2</v>
      </c>
    </row>
    <row r="1379" spans="13:26" x14ac:dyDescent="0.35">
      <c r="M1379" s="250">
        <v>1061</v>
      </c>
      <c r="N1379" s="251" t="str">
        <f t="shared" si="221"/>
        <v/>
      </c>
      <c r="O1379" s="251" t="str">
        <f t="shared" si="222"/>
        <v/>
      </c>
      <c r="P1379" s="251" t="str">
        <f t="shared" si="223"/>
        <v/>
      </c>
      <c r="Q1379" s="251" t="str">
        <f t="shared" si="224"/>
        <v/>
      </c>
      <c r="R1379" s="251" t="str">
        <f t="shared" si="225"/>
        <v/>
      </c>
      <c r="S1379" s="252" t="str">
        <f t="shared" si="226"/>
        <v/>
      </c>
      <c r="T1379" s="253"/>
      <c r="U1379" s="298">
        <v>9.2999999999999999E-2</v>
      </c>
      <c r="V1379" s="298">
        <v>7.2999999999999995E-2</v>
      </c>
      <c r="W1379" s="298">
        <v>6.6000000000000003E-2</v>
      </c>
      <c r="X1379" s="298">
        <v>4.7E-2</v>
      </c>
      <c r="Y1379" s="298">
        <v>3.6999999999999998E-2</v>
      </c>
      <c r="Z1379" s="298">
        <v>3.1E-2</v>
      </c>
    </row>
    <row r="1380" spans="13:26" x14ac:dyDescent="0.35">
      <c r="M1380" s="250">
        <v>1139</v>
      </c>
      <c r="N1380" s="251" t="str">
        <f t="shared" si="221"/>
        <v/>
      </c>
      <c r="O1380" s="251" t="str">
        <f t="shared" si="222"/>
        <v/>
      </c>
      <c r="P1380" s="251" t="str">
        <f t="shared" si="223"/>
        <v/>
      </c>
      <c r="Q1380" s="251" t="str">
        <f t="shared" si="224"/>
        <v/>
      </c>
      <c r="R1380" s="251" t="str">
        <f t="shared" si="225"/>
        <v/>
      </c>
      <c r="S1380" s="252" t="str">
        <f t="shared" si="226"/>
        <v/>
      </c>
      <c r="T1380" s="253"/>
      <c r="U1380" s="298">
        <v>0.10100000000000001</v>
      </c>
      <c r="V1380" s="298">
        <v>8.7999999999999995E-2</v>
      </c>
      <c r="W1380" s="298">
        <v>8.1000000000000003E-2</v>
      </c>
      <c r="X1380" s="298">
        <v>6.0999999999999999E-2</v>
      </c>
      <c r="Y1380" s="298">
        <v>5.5E-2</v>
      </c>
      <c r="Z1380" s="298">
        <v>4.2000000000000003E-2</v>
      </c>
    </row>
    <row r="1381" spans="13:26" x14ac:dyDescent="0.35">
      <c r="M1381" s="250">
        <v>1221</v>
      </c>
      <c r="N1381" s="251" t="str">
        <f t="shared" si="221"/>
        <v/>
      </c>
      <c r="O1381" s="251" t="str">
        <f t="shared" si="222"/>
        <v/>
      </c>
      <c r="P1381" s="251" t="str">
        <f t="shared" si="223"/>
        <v/>
      </c>
      <c r="Q1381" s="251" t="str">
        <f t="shared" si="224"/>
        <v/>
      </c>
      <c r="R1381" s="251" t="str">
        <f t="shared" si="225"/>
        <v/>
      </c>
      <c r="S1381" s="252" t="str">
        <f t="shared" si="226"/>
        <v/>
      </c>
      <c r="T1381" s="253"/>
      <c r="U1381" s="298">
        <v>0.108</v>
      </c>
      <c r="V1381" s="298">
        <v>9.6000000000000002E-2</v>
      </c>
      <c r="W1381" s="298">
        <v>8.7999999999999995E-2</v>
      </c>
      <c r="X1381" s="298">
        <v>6.9000000000000006E-2</v>
      </c>
      <c r="Y1381" s="298">
        <v>6.2E-2</v>
      </c>
      <c r="Z1381" s="298">
        <v>4.9000000000000002E-2</v>
      </c>
    </row>
    <row r="1382" spans="13:26" x14ac:dyDescent="0.35">
      <c r="M1382" s="250">
        <v>1317</v>
      </c>
      <c r="N1382" s="251" t="str">
        <f t="shared" si="221"/>
        <v/>
      </c>
      <c r="O1382" s="251" t="str">
        <f t="shared" si="222"/>
        <v/>
      </c>
      <c r="P1382" s="251" t="str">
        <f t="shared" si="223"/>
        <v/>
      </c>
      <c r="Q1382" s="251" t="str">
        <f t="shared" si="224"/>
        <v/>
      </c>
      <c r="R1382" s="251" t="str">
        <f t="shared" si="225"/>
        <v/>
      </c>
      <c r="S1382" s="252" t="str">
        <f t="shared" si="226"/>
        <v/>
      </c>
      <c r="T1382" s="253"/>
      <c r="U1382" s="298">
        <v>0.11600000000000001</v>
      </c>
      <c r="V1382" s="298">
        <v>0.11</v>
      </c>
      <c r="W1382" s="298">
        <v>9.7000000000000003E-2</v>
      </c>
      <c r="X1382" s="298">
        <v>8.2000000000000003E-2</v>
      </c>
      <c r="Y1382" s="298">
        <v>6.9000000000000006E-2</v>
      </c>
      <c r="Z1382" s="298">
        <v>6.3E-2</v>
      </c>
    </row>
    <row r="1383" spans="13:26" x14ac:dyDescent="0.35">
      <c r="M1383" s="250">
        <v>1419</v>
      </c>
      <c r="N1383" s="251" t="str">
        <f t="shared" si="221"/>
        <v/>
      </c>
      <c r="O1383" s="251" t="str">
        <f t="shared" si="222"/>
        <v/>
      </c>
      <c r="P1383" s="251" t="str">
        <f t="shared" si="223"/>
        <v/>
      </c>
      <c r="Q1383" s="251" t="str">
        <f t="shared" si="224"/>
        <v/>
      </c>
      <c r="R1383" s="251" t="str">
        <f t="shared" si="225"/>
        <v/>
      </c>
      <c r="S1383" s="252" t="str">
        <f t="shared" si="226"/>
        <v/>
      </c>
      <c r="T1383" s="253"/>
      <c r="U1383" s="298">
        <v>0.123</v>
      </c>
      <c r="V1383" s="298">
        <v>0.11700000000000001</v>
      </c>
      <c r="W1383" s="298">
        <v>0.104</v>
      </c>
      <c r="X1383" s="298">
        <v>9.0999999999999998E-2</v>
      </c>
      <c r="Y1383" s="298">
        <v>7.6999999999999999E-2</v>
      </c>
      <c r="Z1383" s="298">
        <v>7.0999999999999994E-2</v>
      </c>
    </row>
    <row r="1384" spans="13:26" x14ac:dyDescent="0.35">
      <c r="M1384" s="250">
        <v>1557</v>
      </c>
      <c r="N1384" s="251" t="str">
        <f t="shared" si="221"/>
        <v/>
      </c>
      <c r="O1384" s="251" t="str">
        <f t="shared" si="222"/>
        <v/>
      </c>
      <c r="P1384" s="251" t="str">
        <f t="shared" si="223"/>
        <v/>
      </c>
      <c r="Q1384" s="251" t="str">
        <f t="shared" si="224"/>
        <v/>
      </c>
      <c r="R1384" s="251" t="str">
        <f t="shared" si="225"/>
        <v/>
      </c>
      <c r="S1384" s="252" t="str">
        <f t="shared" si="226"/>
        <v/>
      </c>
      <c r="T1384" s="253"/>
      <c r="U1384" s="298">
        <v>0.13100000000000001</v>
      </c>
      <c r="V1384" s="298">
        <v>0.126</v>
      </c>
      <c r="W1384" s="298">
        <v>0.112</v>
      </c>
      <c r="X1384" s="298">
        <v>9.9000000000000005E-2</v>
      </c>
      <c r="Y1384" s="298">
        <v>8.5000000000000006E-2</v>
      </c>
      <c r="Z1384" s="298">
        <v>7.8E-2</v>
      </c>
    </row>
    <row r="1385" spans="13:26" x14ac:dyDescent="0.35">
      <c r="M1385" s="250">
        <v>1705</v>
      </c>
      <c r="N1385" s="251">
        <f t="shared" si="221"/>
        <v>0.14199999999999999</v>
      </c>
      <c r="O1385" s="251">
        <f t="shared" si="222"/>
        <v>0.13600000000000001</v>
      </c>
      <c r="P1385" s="251">
        <f t="shared" si="223"/>
        <v>0.123</v>
      </c>
      <c r="Q1385" s="251">
        <f t="shared" si="224"/>
        <v>0.109</v>
      </c>
      <c r="R1385" s="251">
        <f t="shared" si="225"/>
        <v>0.10299999999999999</v>
      </c>
      <c r="S1385" s="252">
        <f t="shared" si="226"/>
        <v>0.09</v>
      </c>
      <c r="T1385" s="253"/>
      <c r="U1385" s="298">
        <v>0.14199999999999999</v>
      </c>
      <c r="V1385" s="298">
        <v>0.13600000000000001</v>
      </c>
      <c r="W1385" s="298">
        <v>0.123</v>
      </c>
      <c r="X1385" s="298">
        <v>0.109</v>
      </c>
      <c r="Y1385" s="298">
        <v>0.10299999999999999</v>
      </c>
      <c r="Z1385" s="298">
        <v>0.09</v>
      </c>
    </row>
    <row r="1386" spans="13:26" x14ac:dyDescent="0.35">
      <c r="M1386" s="250">
        <v>1864</v>
      </c>
      <c r="N1386" s="251" t="str">
        <f t="shared" si="221"/>
        <v/>
      </c>
      <c r="O1386" s="251" t="str">
        <f t="shared" si="222"/>
        <v/>
      </c>
      <c r="P1386" s="251" t="str">
        <f t="shared" si="223"/>
        <v/>
      </c>
      <c r="Q1386" s="251" t="str">
        <f t="shared" si="224"/>
        <v/>
      </c>
      <c r="R1386" s="251" t="str">
        <f t="shared" si="225"/>
        <v/>
      </c>
      <c r="S1386" s="252" t="str">
        <f t="shared" si="226"/>
        <v/>
      </c>
      <c r="T1386" s="253"/>
      <c r="U1386" s="298">
        <v>0.154</v>
      </c>
      <c r="V1386" s="298">
        <v>0.14899999999999999</v>
      </c>
      <c r="W1386" s="298">
        <v>0.13600000000000001</v>
      </c>
      <c r="X1386" s="298">
        <v>0.124</v>
      </c>
      <c r="Y1386" s="298">
        <v>0.11799999999999999</v>
      </c>
      <c r="Z1386" s="298">
        <v>0.104</v>
      </c>
    </row>
    <row r="1387" spans="13:26" x14ac:dyDescent="0.35">
      <c r="M1387" s="250">
        <v>1971</v>
      </c>
      <c r="N1387" s="251" t="str">
        <f t="shared" si="221"/>
        <v/>
      </c>
      <c r="O1387" s="251" t="str">
        <f t="shared" si="222"/>
        <v/>
      </c>
      <c r="P1387" s="251" t="str">
        <f t="shared" si="223"/>
        <v/>
      </c>
      <c r="Q1387" s="251" t="str">
        <f t="shared" si="224"/>
        <v/>
      </c>
      <c r="R1387" s="251" t="str">
        <f t="shared" si="225"/>
        <v/>
      </c>
      <c r="S1387" s="252" t="str">
        <f t="shared" si="226"/>
        <v/>
      </c>
      <c r="T1387" s="253"/>
      <c r="U1387" s="298">
        <v>0.161</v>
      </c>
      <c r="V1387" s="298">
        <v>0.157</v>
      </c>
      <c r="W1387" s="298">
        <v>0.14299999999999999</v>
      </c>
      <c r="X1387" s="298">
        <v>0.13</v>
      </c>
      <c r="Y1387" s="298">
        <v>0.124</v>
      </c>
      <c r="Z1387" s="298">
        <v>0.112</v>
      </c>
    </row>
    <row r="1388" spans="13:26" x14ac:dyDescent="0.35">
      <c r="M1388" s="250">
        <v>2083</v>
      </c>
      <c r="N1388" s="251" t="str">
        <f t="shared" si="221"/>
        <v/>
      </c>
      <c r="O1388" s="251" t="str">
        <f t="shared" si="222"/>
        <v/>
      </c>
      <c r="P1388" s="251" t="str">
        <f t="shared" si="223"/>
        <v/>
      </c>
      <c r="Q1388" s="251" t="str">
        <f t="shared" si="224"/>
        <v/>
      </c>
      <c r="R1388" s="251" t="str">
        <f t="shared" si="225"/>
        <v/>
      </c>
      <c r="S1388" s="252" t="str">
        <f t="shared" si="226"/>
        <v/>
      </c>
      <c r="T1388" s="253"/>
      <c r="U1388" s="298">
        <v>0.17399999999999999</v>
      </c>
      <c r="V1388" s="298">
        <v>0.17100000000000001</v>
      </c>
      <c r="W1388" s="298">
        <v>0.157</v>
      </c>
      <c r="X1388" s="298">
        <v>0.14199999999999999</v>
      </c>
      <c r="Y1388" s="298">
        <v>0.13600000000000001</v>
      </c>
      <c r="Z1388" s="298">
        <v>0.13</v>
      </c>
    </row>
    <row r="1389" spans="13:26" x14ac:dyDescent="0.35">
      <c r="M1389" s="250">
        <v>2211</v>
      </c>
      <c r="N1389" s="251" t="str">
        <f t="shared" si="221"/>
        <v/>
      </c>
      <c r="O1389" s="251" t="str">
        <f t="shared" si="222"/>
        <v/>
      </c>
      <c r="P1389" s="251" t="str">
        <f t="shared" si="223"/>
        <v/>
      </c>
      <c r="Q1389" s="251" t="str">
        <f t="shared" si="224"/>
        <v/>
      </c>
      <c r="R1389" s="251" t="str">
        <f t="shared" si="225"/>
        <v/>
      </c>
      <c r="S1389" s="252" t="str">
        <f t="shared" si="226"/>
        <v/>
      </c>
      <c r="T1389" s="253"/>
      <c r="U1389" s="298">
        <v>0.182</v>
      </c>
      <c r="V1389" s="298">
        <v>0.17799999999999999</v>
      </c>
      <c r="W1389" s="298">
        <v>0.16500000000000001</v>
      </c>
      <c r="X1389" s="298">
        <v>0.152</v>
      </c>
      <c r="Y1389" s="298">
        <v>0.14399999999999999</v>
      </c>
      <c r="Z1389" s="298">
        <v>0.13900000000000001</v>
      </c>
    </row>
    <row r="1390" spans="13:26" x14ac:dyDescent="0.35">
      <c r="M1390" s="250">
        <v>2359</v>
      </c>
      <c r="N1390" s="251" t="str">
        <f t="shared" si="221"/>
        <v/>
      </c>
      <c r="O1390" s="251" t="str">
        <f t="shared" si="222"/>
        <v/>
      </c>
      <c r="P1390" s="251" t="str">
        <f t="shared" si="223"/>
        <v/>
      </c>
      <c r="Q1390" s="251" t="str">
        <f t="shared" si="224"/>
        <v/>
      </c>
      <c r="R1390" s="251" t="str">
        <f t="shared" si="225"/>
        <v/>
      </c>
      <c r="S1390" s="252" t="str">
        <f t="shared" si="226"/>
        <v/>
      </c>
      <c r="T1390" s="253"/>
      <c r="U1390" s="298">
        <v>0.19</v>
      </c>
      <c r="V1390" s="298">
        <v>0.187</v>
      </c>
      <c r="W1390" s="298">
        <v>0.18099999999999999</v>
      </c>
      <c r="X1390" s="298">
        <v>0.159</v>
      </c>
      <c r="Y1390" s="298">
        <v>0.153</v>
      </c>
      <c r="Z1390" s="298">
        <v>0.14599999999999999</v>
      </c>
    </row>
    <row r="1391" spans="13:26" x14ac:dyDescent="0.35">
      <c r="M1391" s="250">
        <v>2527</v>
      </c>
      <c r="N1391" s="251" t="str">
        <f t="shared" si="221"/>
        <v/>
      </c>
      <c r="O1391" s="251" t="str">
        <f t="shared" si="222"/>
        <v/>
      </c>
      <c r="P1391" s="251" t="str">
        <f t="shared" si="223"/>
        <v/>
      </c>
      <c r="Q1391" s="251" t="str">
        <f t="shared" si="224"/>
        <v/>
      </c>
      <c r="R1391" s="251" t="str">
        <f t="shared" si="225"/>
        <v/>
      </c>
      <c r="S1391" s="252" t="str">
        <f t="shared" si="226"/>
        <v/>
      </c>
      <c r="T1391" s="253"/>
      <c r="U1391" s="298">
        <v>0.19800000000000001</v>
      </c>
      <c r="V1391" s="298">
        <v>0.19400000000000001</v>
      </c>
      <c r="W1391" s="298">
        <v>0.188</v>
      </c>
      <c r="X1391" s="298">
        <v>0.16800000000000001</v>
      </c>
      <c r="Y1391" s="298">
        <v>0.16200000000000001</v>
      </c>
      <c r="Z1391" s="298">
        <v>0.155</v>
      </c>
    </row>
    <row r="1392" spans="13:26" x14ac:dyDescent="0.35">
      <c r="M1392" s="250">
        <v>2758</v>
      </c>
      <c r="N1392" s="251" t="str">
        <f t="shared" si="221"/>
        <v/>
      </c>
      <c r="O1392" s="251" t="str">
        <f t="shared" si="222"/>
        <v/>
      </c>
      <c r="P1392" s="251" t="str">
        <f t="shared" si="223"/>
        <v/>
      </c>
      <c r="Q1392" s="251" t="str">
        <f t="shared" si="224"/>
        <v/>
      </c>
      <c r="R1392" s="251" t="str">
        <f t="shared" si="225"/>
        <v/>
      </c>
      <c r="S1392" s="252" t="str">
        <f t="shared" si="226"/>
        <v/>
      </c>
      <c r="T1392" s="253"/>
      <c r="U1392" s="298">
        <v>0.20599999999999999</v>
      </c>
      <c r="V1392" s="298">
        <v>0.20200000000000001</v>
      </c>
      <c r="W1392" s="298">
        <v>0.19600000000000001</v>
      </c>
      <c r="X1392" s="298">
        <v>0.17499999999999999</v>
      </c>
      <c r="Y1392" s="298">
        <v>0.16900000000000001</v>
      </c>
      <c r="Z1392" s="298">
        <v>0.16300000000000001</v>
      </c>
    </row>
    <row r="1393" spans="13:26" x14ac:dyDescent="0.35">
      <c r="M1393" s="250">
        <v>3094</v>
      </c>
      <c r="N1393" s="251" t="str">
        <f t="shared" si="221"/>
        <v/>
      </c>
      <c r="O1393" s="251" t="str">
        <f t="shared" si="222"/>
        <v/>
      </c>
      <c r="P1393" s="251" t="str">
        <f t="shared" si="223"/>
        <v/>
      </c>
      <c r="Q1393" s="251" t="str">
        <f t="shared" si="224"/>
        <v/>
      </c>
      <c r="R1393" s="251" t="str">
        <f t="shared" si="225"/>
        <v/>
      </c>
      <c r="S1393" s="252" t="str">
        <f t="shared" si="226"/>
        <v/>
      </c>
      <c r="T1393" s="253"/>
      <c r="U1393" s="298">
        <v>0.223</v>
      </c>
      <c r="V1393" s="298">
        <v>0.219</v>
      </c>
      <c r="W1393" s="298">
        <v>0.21199999999999999</v>
      </c>
      <c r="X1393" s="298">
        <v>0.19</v>
      </c>
      <c r="Y1393" s="298">
        <v>0.184</v>
      </c>
      <c r="Z1393" s="298">
        <v>0.17799999999999999</v>
      </c>
    </row>
    <row r="1394" spans="13:26" x14ac:dyDescent="0.35">
      <c r="M1394" s="250">
        <v>3523</v>
      </c>
      <c r="N1394" s="251" t="str">
        <f t="shared" si="221"/>
        <v/>
      </c>
      <c r="O1394" s="251" t="str">
        <f t="shared" si="222"/>
        <v/>
      </c>
      <c r="P1394" s="251" t="str">
        <f t="shared" si="223"/>
        <v/>
      </c>
      <c r="Q1394" s="251" t="str">
        <f t="shared" si="224"/>
        <v/>
      </c>
      <c r="R1394" s="251" t="str">
        <f t="shared" si="225"/>
        <v/>
      </c>
      <c r="S1394" s="252" t="str">
        <f t="shared" si="226"/>
        <v/>
      </c>
      <c r="T1394" s="253"/>
      <c r="U1394" s="298">
        <v>0.23200000000000001</v>
      </c>
      <c r="V1394" s="298">
        <v>0.23100000000000001</v>
      </c>
      <c r="W1394" s="298">
        <v>0.22800000000000001</v>
      </c>
      <c r="X1394" s="298">
        <v>0.20899999999999999</v>
      </c>
      <c r="Y1394" s="298">
        <v>0.20599999999999999</v>
      </c>
      <c r="Z1394" s="298">
        <v>0.20300000000000001</v>
      </c>
    </row>
    <row r="1395" spans="13:26" x14ac:dyDescent="0.35">
      <c r="M1395" s="250">
        <v>4105</v>
      </c>
      <c r="N1395" s="251" t="str">
        <f t="shared" si="221"/>
        <v/>
      </c>
      <c r="O1395" s="251" t="str">
        <f t="shared" si="222"/>
        <v/>
      </c>
      <c r="P1395" s="251" t="str">
        <f t="shared" si="223"/>
        <v/>
      </c>
      <c r="Q1395" s="251" t="str">
        <f t="shared" si="224"/>
        <v/>
      </c>
      <c r="R1395" s="251" t="str">
        <f t="shared" si="225"/>
        <v/>
      </c>
      <c r="S1395" s="252" t="str">
        <f t="shared" si="226"/>
        <v/>
      </c>
      <c r="T1395" s="253"/>
      <c r="U1395" s="298">
        <v>0.24199999999999999</v>
      </c>
      <c r="V1395" s="298">
        <v>0.24199999999999999</v>
      </c>
      <c r="W1395" s="298">
        <v>0.23599999999999999</v>
      </c>
      <c r="X1395" s="298">
        <v>0.22500000000000001</v>
      </c>
      <c r="Y1395" s="298">
        <v>0.214</v>
      </c>
      <c r="Z1395" s="298">
        <v>0.21099999999999999</v>
      </c>
    </row>
    <row r="1396" spans="13:26" x14ac:dyDescent="0.35">
      <c r="M1396" s="250">
        <v>4636</v>
      </c>
      <c r="N1396" s="251" t="str">
        <f t="shared" si="221"/>
        <v/>
      </c>
      <c r="O1396" s="251" t="str">
        <f t="shared" si="222"/>
        <v/>
      </c>
      <c r="P1396" s="251" t="str">
        <f t="shared" si="223"/>
        <v/>
      </c>
      <c r="Q1396" s="251" t="str">
        <f t="shared" si="224"/>
        <v/>
      </c>
      <c r="R1396" s="251" t="str">
        <f t="shared" si="225"/>
        <v/>
      </c>
      <c r="S1396" s="252" t="str">
        <f t="shared" si="226"/>
        <v/>
      </c>
      <c r="T1396" s="253"/>
      <c r="U1396" s="298">
        <v>0.25600000000000001</v>
      </c>
      <c r="V1396" s="298">
        <v>0.253</v>
      </c>
      <c r="W1396" s="298">
        <v>0.25</v>
      </c>
      <c r="X1396" s="298">
        <v>0.23699999999999999</v>
      </c>
      <c r="Y1396" s="298">
        <v>0.22600000000000001</v>
      </c>
      <c r="Z1396" s="298">
        <v>0.223</v>
      </c>
    </row>
    <row r="1397" spans="13:26" x14ac:dyDescent="0.35">
      <c r="M1397" s="250">
        <v>5178</v>
      </c>
      <c r="N1397" s="251" t="str">
        <f t="shared" si="221"/>
        <v/>
      </c>
      <c r="O1397" s="251" t="str">
        <f t="shared" si="222"/>
        <v/>
      </c>
      <c r="P1397" s="251" t="str">
        <f t="shared" si="223"/>
        <v/>
      </c>
      <c r="Q1397" s="251" t="str">
        <f t="shared" si="224"/>
        <v/>
      </c>
      <c r="R1397" s="251" t="str">
        <f t="shared" si="225"/>
        <v/>
      </c>
      <c r="S1397" s="252" t="str">
        <f t="shared" si="226"/>
        <v/>
      </c>
      <c r="T1397" s="253"/>
      <c r="U1397" s="298">
        <v>0.26400000000000001</v>
      </c>
      <c r="V1397" s="298">
        <v>0.26100000000000001</v>
      </c>
      <c r="W1397" s="298">
        <v>0.25800000000000001</v>
      </c>
      <c r="X1397" s="298">
        <v>0.247</v>
      </c>
      <c r="Y1397" s="298">
        <v>0.24199999999999999</v>
      </c>
      <c r="Z1397" s="298">
        <v>0.23</v>
      </c>
    </row>
    <row r="1398" spans="13:26" x14ac:dyDescent="0.35">
      <c r="M1398" s="250">
        <v>5862</v>
      </c>
      <c r="N1398" s="251" t="str">
        <f t="shared" si="221"/>
        <v/>
      </c>
      <c r="O1398" s="251" t="str">
        <f t="shared" si="222"/>
        <v/>
      </c>
      <c r="P1398" s="251" t="str">
        <f t="shared" si="223"/>
        <v/>
      </c>
      <c r="Q1398" s="251" t="str">
        <f t="shared" si="224"/>
        <v/>
      </c>
      <c r="R1398" s="251" t="str">
        <f t="shared" si="225"/>
        <v/>
      </c>
      <c r="S1398" s="252" t="str">
        <f t="shared" si="226"/>
        <v/>
      </c>
      <c r="T1398" s="253"/>
      <c r="U1398" s="298">
        <v>0.27100000000000002</v>
      </c>
      <c r="V1398" s="298">
        <v>0.26900000000000002</v>
      </c>
      <c r="W1398" s="298">
        <v>0.26600000000000001</v>
      </c>
      <c r="X1398" s="298">
        <v>0.255</v>
      </c>
      <c r="Y1398" s="298">
        <v>0.252</v>
      </c>
      <c r="Z1398" s="298">
        <v>0.23799999999999999</v>
      </c>
    </row>
    <row r="1399" spans="13:26" x14ac:dyDescent="0.35">
      <c r="M1399" s="250">
        <v>6706</v>
      </c>
      <c r="N1399" s="251" t="str">
        <f t="shared" si="221"/>
        <v/>
      </c>
      <c r="O1399" s="251" t="str">
        <f t="shared" si="222"/>
        <v/>
      </c>
      <c r="P1399" s="251" t="str">
        <f t="shared" si="223"/>
        <v/>
      </c>
      <c r="Q1399" s="251" t="str">
        <f t="shared" si="224"/>
        <v/>
      </c>
      <c r="R1399" s="251" t="str">
        <f t="shared" si="225"/>
        <v/>
      </c>
      <c r="S1399" s="252" t="str">
        <f t="shared" si="226"/>
        <v/>
      </c>
      <c r="T1399" s="253"/>
      <c r="U1399" s="298">
        <v>0.29199999999999998</v>
      </c>
      <c r="V1399" s="298">
        <v>0.28999999999999998</v>
      </c>
      <c r="W1399" s="298">
        <v>0.28599999999999998</v>
      </c>
      <c r="X1399" s="298">
        <v>0.28000000000000003</v>
      </c>
      <c r="Y1399" s="298">
        <v>0.27800000000000002</v>
      </c>
      <c r="Z1399" s="298">
        <v>0.27700000000000002</v>
      </c>
    </row>
    <row r="1400" spans="13:26" x14ac:dyDescent="0.35">
      <c r="M1400" s="250">
        <v>7915</v>
      </c>
      <c r="N1400" s="251" t="str">
        <f t="shared" si="221"/>
        <v/>
      </c>
      <c r="O1400" s="251" t="str">
        <f t="shared" si="222"/>
        <v/>
      </c>
      <c r="P1400" s="251" t="str">
        <f t="shared" si="223"/>
        <v/>
      </c>
      <c r="Q1400" s="251" t="str">
        <f t="shared" si="224"/>
        <v/>
      </c>
      <c r="R1400" s="251" t="str">
        <f t="shared" si="225"/>
        <v/>
      </c>
      <c r="S1400" s="252" t="str">
        <f t="shared" si="226"/>
        <v/>
      </c>
      <c r="T1400" s="253"/>
      <c r="U1400" s="298">
        <v>0.3</v>
      </c>
      <c r="V1400" s="298">
        <v>0.29799999999999999</v>
      </c>
      <c r="W1400" s="298">
        <v>0.29699999999999999</v>
      </c>
      <c r="X1400" s="298">
        <v>0.28799999999999998</v>
      </c>
      <c r="Y1400" s="298">
        <v>0.28599999999999998</v>
      </c>
      <c r="Z1400" s="298">
        <v>0.28499999999999998</v>
      </c>
    </row>
    <row r="1401" spans="13:26" x14ac:dyDescent="0.35">
      <c r="M1401" s="250">
        <v>9531</v>
      </c>
      <c r="N1401" s="251" t="str">
        <f t="shared" si="221"/>
        <v/>
      </c>
      <c r="O1401" s="251" t="str">
        <f t="shared" si="222"/>
        <v/>
      </c>
      <c r="P1401" s="251" t="str">
        <f t="shared" si="223"/>
        <v/>
      </c>
      <c r="Q1401" s="251" t="str">
        <f t="shared" si="224"/>
        <v/>
      </c>
      <c r="R1401" s="251" t="str">
        <f t="shared" si="225"/>
        <v/>
      </c>
      <c r="S1401" s="252" t="str">
        <f t="shared" si="226"/>
        <v/>
      </c>
      <c r="T1401" s="253"/>
      <c r="U1401" s="298">
        <v>0.316</v>
      </c>
      <c r="V1401" s="298">
        <v>0.314</v>
      </c>
      <c r="W1401" s="298">
        <v>0.313</v>
      </c>
      <c r="X1401" s="298">
        <v>0.30399999999999999</v>
      </c>
      <c r="Y1401" s="298">
        <v>0.30199999999999999</v>
      </c>
      <c r="Z1401" s="298">
        <v>0.30099999999999999</v>
      </c>
    </row>
    <row r="1402" spans="13:26" x14ac:dyDescent="0.35">
      <c r="M1402" s="250">
        <v>11248</v>
      </c>
      <c r="N1402" s="251" t="str">
        <f t="shared" si="221"/>
        <v/>
      </c>
      <c r="O1402" s="251" t="str">
        <f t="shared" si="222"/>
        <v/>
      </c>
      <c r="P1402" s="251" t="str">
        <f t="shared" si="223"/>
        <v/>
      </c>
      <c r="Q1402" s="251" t="str">
        <f t="shared" si="224"/>
        <v/>
      </c>
      <c r="R1402" s="251" t="str">
        <f t="shared" si="225"/>
        <v/>
      </c>
      <c r="S1402" s="252" t="str">
        <f t="shared" si="226"/>
        <v/>
      </c>
      <c r="T1402" s="253"/>
      <c r="U1402" s="298">
        <v>0.32400000000000001</v>
      </c>
      <c r="V1402" s="298">
        <v>0.32200000000000001</v>
      </c>
      <c r="W1402" s="298">
        <v>0.32100000000000001</v>
      </c>
      <c r="X1402" s="298">
        <v>0.315</v>
      </c>
      <c r="Y1402" s="298">
        <v>0.31</v>
      </c>
      <c r="Z1402" s="298">
        <v>0.309</v>
      </c>
    </row>
    <row r="1403" spans="13:26" x14ac:dyDescent="0.35">
      <c r="M1403" s="250">
        <v>18797</v>
      </c>
      <c r="N1403" s="251" t="str">
        <f t="shared" si="221"/>
        <v/>
      </c>
      <c r="O1403" s="251" t="str">
        <f t="shared" si="222"/>
        <v/>
      </c>
      <c r="P1403" s="251" t="str">
        <f t="shared" si="223"/>
        <v/>
      </c>
      <c r="Q1403" s="251" t="str">
        <f t="shared" si="224"/>
        <v/>
      </c>
      <c r="R1403" s="251" t="str">
        <f t="shared" si="225"/>
        <v/>
      </c>
      <c r="S1403" s="252" t="str">
        <f t="shared" si="226"/>
        <v/>
      </c>
      <c r="T1403" s="253"/>
      <c r="U1403" s="298">
        <v>0.33200000000000002</v>
      </c>
      <c r="V1403" s="298">
        <v>0.33</v>
      </c>
      <c r="W1403" s="298">
        <v>0.32900000000000001</v>
      </c>
      <c r="X1403" s="298">
        <v>0.32300000000000001</v>
      </c>
      <c r="Y1403" s="298">
        <v>0.32200000000000001</v>
      </c>
      <c r="Z1403" s="298">
        <v>0.317</v>
      </c>
    </row>
    <row r="1404" spans="13:26" x14ac:dyDescent="0.35">
      <c r="M1404" s="250">
        <v>20160</v>
      </c>
      <c r="N1404" s="251" t="str">
        <f t="shared" si="221"/>
        <v/>
      </c>
      <c r="O1404" s="251" t="str">
        <f t="shared" si="222"/>
        <v/>
      </c>
      <c r="P1404" s="251" t="str">
        <f t="shared" si="223"/>
        <v/>
      </c>
      <c r="Q1404" s="251" t="str">
        <f t="shared" si="224"/>
        <v/>
      </c>
      <c r="R1404" s="251" t="str">
        <f t="shared" si="225"/>
        <v/>
      </c>
      <c r="S1404" s="252" t="str">
        <f t="shared" si="226"/>
        <v/>
      </c>
      <c r="T1404" s="253"/>
      <c r="U1404" s="298">
        <v>0.34</v>
      </c>
      <c r="V1404" s="298">
        <v>0.33800000000000002</v>
      </c>
      <c r="W1404" s="298">
        <v>0.33700000000000002</v>
      </c>
      <c r="X1404" s="298">
        <v>0.33100000000000002</v>
      </c>
      <c r="Y1404" s="298">
        <v>0.33</v>
      </c>
      <c r="Z1404" s="298">
        <v>0.32500000000000001</v>
      </c>
    </row>
    <row r="1405" spans="13:26" x14ac:dyDescent="0.35">
      <c r="M1405" s="250">
        <v>22680</v>
      </c>
      <c r="N1405" s="251" t="str">
        <f t="shared" si="221"/>
        <v/>
      </c>
      <c r="O1405" s="251" t="str">
        <f t="shared" si="222"/>
        <v/>
      </c>
      <c r="P1405" s="251" t="str">
        <f t="shared" si="223"/>
        <v/>
      </c>
      <c r="Q1405" s="251" t="str">
        <f t="shared" si="224"/>
        <v/>
      </c>
      <c r="R1405" s="251" t="str">
        <f t="shared" si="225"/>
        <v/>
      </c>
      <c r="S1405" s="252" t="str">
        <f t="shared" si="226"/>
        <v/>
      </c>
      <c r="T1405" s="253"/>
      <c r="U1405" s="298">
        <v>0.34599999999999997</v>
      </c>
      <c r="V1405" s="298">
        <v>0.34599999999999997</v>
      </c>
      <c r="W1405" s="298">
        <v>0.34499999999999997</v>
      </c>
      <c r="X1405" s="298">
        <v>0.33900000000000002</v>
      </c>
      <c r="Y1405" s="298">
        <v>0.33800000000000002</v>
      </c>
      <c r="Z1405" s="298">
        <v>0.33400000000000002</v>
      </c>
    </row>
    <row r="1406" spans="13:26" x14ac:dyDescent="0.35">
      <c r="M1406" s="250">
        <v>25200</v>
      </c>
      <c r="N1406" s="251" t="str">
        <f t="shared" si="221"/>
        <v/>
      </c>
      <c r="O1406" s="251" t="str">
        <f t="shared" si="222"/>
        <v/>
      </c>
      <c r="P1406" s="251" t="str">
        <f t="shared" si="223"/>
        <v/>
      </c>
      <c r="Q1406" s="251" t="str">
        <f t="shared" si="224"/>
        <v/>
      </c>
      <c r="R1406" s="251" t="str">
        <f t="shared" si="225"/>
        <v/>
      </c>
      <c r="S1406" s="252" t="str">
        <f t="shared" si="226"/>
        <v/>
      </c>
      <c r="T1406" s="253"/>
      <c r="U1406" s="298">
        <v>0.35399999999999998</v>
      </c>
      <c r="V1406" s="298">
        <v>0.35399999999999998</v>
      </c>
      <c r="W1406" s="298">
        <v>0.35299999999999998</v>
      </c>
      <c r="X1406" s="298">
        <v>0.34699999999999998</v>
      </c>
      <c r="Y1406" s="298">
        <v>0.34599999999999997</v>
      </c>
      <c r="Z1406" s="298">
        <v>0.34399999999999997</v>
      </c>
    </row>
    <row r="1407" spans="13:26" x14ac:dyDescent="0.35">
      <c r="M1407" s="250">
        <v>25200</v>
      </c>
      <c r="N1407" s="251" t="str">
        <f t="shared" si="221"/>
        <v/>
      </c>
      <c r="O1407" s="251" t="str">
        <f t="shared" si="222"/>
        <v/>
      </c>
      <c r="P1407" s="251" t="str">
        <f t="shared" si="223"/>
        <v/>
      </c>
      <c r="Q1407" s="251" t="str">
        <f t="shared" si="224"/>
        <v/>
      </c>
      <c r="R1407" s="251" t="str">
        <f t="shared" si="225"/>
        <v/>
      </c>
      <c r="S1407" s="252" t="str">
        <f t="shared" si="226"/>
        <v/>
      </c>
      <c r="T1407" s="253"/>
      <c r="U1407" s="298">
        <v>0.36199999999999999</v>
      </c>
      <c r="V1407" s="298">
        <v>0.36199999999999999</v>
      </c>
      <c r="W1407" s="298">
        <v>0.36099999999999999</v>
      </c>
      <c r="X1407" s="298">
        <v>0.35499999999999998</v>
      </c>
      <c r="Y1407" s="298">
        <v>0.35399999999999998</v>
      </c>
      <c r="Z1407" s="298">
        <v>0.35199999999999998</v>
      </c>
    </row>
    <row r="1408" spans="13:26" x14ac:dyDescent="0.35">
      <c r="M1408" s="250">
        <v>25200</v>
      </c>
      <c r="N1408" s="251" t="str">
        <f t="shared" si="221"/>
        <v/>
      </c>
      <c r="O1408" s="251" t="str">
        <f t="shared" si="222"/>
        <v/>
      </c>
      <c r="P1408" s="251" t="str">
        <f t="shared" si="223"/>
        <v/>
      </c>
      <c r="Q1408" s="251" t="str">
        <f t="shared" si="224"/>
        <v/>
      </c>
      <c r="R1408" s="251" t="str">
        <f t="shared" si="225"/>
        <v/>
      </c>
      <c r="S1408" s="252" t="str">
        <f t="shared" si="226"/>
        <v/>
      </c>
      <c r="T1408" s="253"/>
      <c r="U1408" s="298">
        <v>0.36199999999999999</v>
      </c>
      <c r="V1408" s="298">
        <v>0.36199999999999999</v>
      </c>
      <c r="W1408" s="298">
        <v>0.36099999999999999</v>
      </c>
      <c r="X1408" s="298">
        <v>0.35499999999999998</v>
      </c>
      <c r="Y1408" s="298">
        <v>0.35399999999999998</v>
      </c>
      <c r="Z1408" s="298">
        <v>0.35199999999999998</v>
      </c>
    </row>
    <row r="1409" spans="13:26" x14ac:dyDescent="0.35">
      <c r="M1409" s="250">
        <v>25200</v>
      </c>
      <c r="N1409" s="251" t="str">
        <f>IF($R$11&gt;=M1408+0.01,U1409,"")</f>
        <v/>
      </c>
      <c r="O1409" s="251" t="str">
        <f>IF($R$11&gt;=M1408,V1409,"")</f>
        <v/>
      </c>
      <c r="P1409" s="251" t="str">
        <f>IF($R$11&gt;=M1408,W1409,"")</f>
        <v/>
      </c>
      <c r="Q1409" s="251" t="str">
        <f>IF($R$11&gt;=M1408,X1409,"")</f>
        <v/>
      </c>
      <c r="R1409" s="252" t="str">
        <f>IF($R$11&gt;=M1408,Y1409,"")</f>
        <v/>
      </c>
      <c r="S1409" s="251" t="str">
        <f>IF($R$11&gt;=M1408,Z1409,"")</f>
        <v/>
      </c>
      <c r="T1409" s="253"/>
      <c r="U1409" s="298">
        <v>0.36199999999999999</v>
      </c>
      <c r="V1409" s="298">
        <v>0.36199999999999999</v>
      </c>
      <c r="W1409" s="298">
        <v>0.36099999999999999</v>
      </c>
      <c r="X1409" s="298">
        <v>0.35499999999999998</v>
      </c>
      <c r="Y1409" s="298">
        <v>0.35399999999999998</v>
      </c>
      <c r="Z1409" s="298">
        <v>0.35199999999999998</v>
      </c>
    </row>
    <row r="1410" spans="13:26" x14ac:dyDescent="0.35">
      <c r="M1410" s="249"/>
      <c r="N1410" s="257" t="str">
        <f>IF($A$15=2,IF($A$2=9,IF($I$2=0,SUM(N1372:N1409),""),""),"")</f>
        <v/>
      </c>
      <c r="O1410" s="258" t="str">
        <f>IF($A$15=2,IF($A$2=9,IF($I$2=1,SUM(O1372:O1409),""),""),"")</f>
        <v/>
      </c>
      <c r="P1410" s="258" t="str">
        <f>IF($A$15=2,IF($A$2=9,IF($I$2=2,SUM(P1372:P1409),""),""),"")</f>
        <v/>
      </c>
      <c r="Q1410" s="258" t="str">
        <f>IF($A$15=2,IF($A$2=9,IF($I$2=3,SUM(Q1372:Q1409),""),""),"")</f>
        <v/>
      </c>
      <c r="R1410" s="258" t="str">
        <f>IF($A$15=2,IF($A$2=9,IF($I$2=4,SUM(R1372:R1409),""),""),"")</f>
        <v/>
      </c>
      <c r="S1410" s="259" t="str">
        <f>IF($A$15=2,IF($A$2=9,IF($I$2=5,SUM(S1372:S1409),""),""),"")</f>
        <v/>
      </c>
      <c r="T1410" s="260">
        <f>SUM(N1410:S1410)</f>
        <v>0</v>
      </c>
      <c r="U1410" s="253"/>
      <c r="V1410" s="253"/>
      <c r="W1410" s="253"/>
      <c r="X1410" s="253"/>
      <c r="Y1410" s="253"/>
      <c r="Z1410" s="253"/>
    </row>
    <row r="1411" spans="13:26" x14ac:dyDescent="0.35">
      <c r="M1411" s="249"/>
      <c r="N1411" s="249"/>
      <c r="O1411" s="249"/>
      <c r="P1411" s="261"/>
      <c r="Q1411" s="249"/>
      <c r="R1411" s="261"/>
      <c r="S1411" s="249"/>
      <c r="T1411" s="253"/>
      <c r="U1411" s="253"/>
      <c r="V1411" s="253"/>
      <c r="W1411" s="253"/>
      <c r="X1411" s="253"/>
      <c r="Y1411" s="253"/>
      <c r="Z1411" s="253"/>
    </row>
    <row r="1412" spans="13:26" x14ac:dyDescent="0.35">
      <c r="M1412" s="249"/>
      <c r="N1412" s="249"/>
      <c r="O1412" s="249"/>
      <c r="P1412" s="250"/>
      <c r="Q1412" s="249"/>
      <c r="R1412" s="249"/>
      <c r="S1412" s="249"/>
      <c r="T1412" s="253"/>
      <c r="U1412" s="253"/>
      <c r="V1412" s="253"/>
      <c r="W1412" s="253"/>
      <c r="X1412" s="253"/>
      <c r="Y1412" s="253"/>
      <c r="Z1412" s="253"/>
    </row>
    <row r="1413" spans="13:26" x14ac:dyDescent="0.35">
      <c r="M1413" s="249"/>
      <c r="N1413" s="249"/>
      <c r="O1413" s="249"/>
      <c r="P1413" s="249"/>
      <c r="Q1413" s="249"/>
      <c r="R1413" s="249"/>
      <c r="S1413" s="249"/>
      <c r="T1413" s="253"/>
      <c r="U1413" s="253"/>
      <c r="V1413" s="253"/>
      <c r="W1413" s="253"/>
      <c r="X1413" s="253"/>
      <c r="Y1413" s="253"/>
      <c r="Z1413" s="253"/>
    </row>
    <row r="1414" spans="13:26" x14ac:dyDescent="0.35">
      <c r="M1414" s="263" t="s">
        <v>147</v>
      </c>
      <c r="N1414" s="272"/>
      <c r="O1414" s="273" t="s">
        <v>181</v>
      </c>
      <c r="P1414" s="283"/>
      <c r="Q1414" s="273"/>
      <c r="R1414" s="273"/>
      <c r="S1414" s="273"/>
      <c r="T1414" s="253"/>
      <c r="U1414" s="275" t="str">
        <f>O1414</f>
        <v>Tabelas de IRS de retenção na fonte referente a 2018 nos Açores</v>
      </c>
      <c r="V1414" s="253"/>
      <c r="W1414" s="253"/>
      <c r="X1414" s="253"/>
      <c r="Y1414" s="253"/>
      <c r="Z1414" s="253"/>
    </row>
    <row r="1415" spans="13:26" x14ac:dyDescent="0.35">
      <c r="M1415" s="297"/>
      <c r="N1415" s="273"/>
      <c r="O1415" s="273" t="s">
        <v>207</v>
      </c>
      <c r="P1415" s="297"/>
      <c r="Q1415" s="273"/>
      <c r="R1415" s="273"/>
      <c r="S1415" s="297"/>
      <c r="T1415" s="253"/>
      <c r="U1415" s="275"/>
      <c r="V1415" s="253"/>
      <c r="W1415" s="253"/>
      <c r="X1415" s="253"/>
      <c r="Y1415" s="253"/>
      <c r="Z1415" s="253"/>
    </row>
    <row r="1416" spans="13:26" x14ac:dyDescent="0.35">
      <c r="M1416" s="273"/>
      <c r="N1416" s="273"/>
      <c r="O1416" s="273" t="s">
        <v>188</v>
      </c>
      <c r="P1416" s="297"/>
      <c r="Q1416" s="273"/>
      <c r="R1416" s="273"/>
      <c r="S1416" s="297"/>
      <c r="T1416" s="253"/>
      <c r="U1416" s="275" t="str">
        <f>O1416</f>
        <v>NÃO CASADO - DEFICIENTE</v>
      </c>
      <c r="V1416" s="253"/>
      <c r="W1416" s="253"/>
      <c r="X1416" s="253"/>
      <c r="Y1416" s="253"/>
      <c r="Z1416" s="253"/>
    </row>
    <row r="1417" spans="13:26" x14ac:dyDescent="0.35">
      <c r="M1417" s="267" t="s">
        <v>154</v>
      </c>
      <c r="N1417" s="268" t="s">
        <v>155</v>
      </c>
      <c r="O1417" s="268" t="s">
        <v>156</v>
      </c>
      <c r="P1417" s="268" t="s">
        <v>157</v>
      </c>
      <c r="Q1417" s="268" t="s">
        <v>158</v>
      </c>
      <c r="R1417" s="268" t="s">
        <v>159</v>
      </c>
      <c r="S1417" s="268" t="s">
        <v>160</v>
      </c>
      <c r="T1417" s="253"/>
      <c r="U1417" s="269" t="str">
        <f t="shared" ref="U1417:Z1417" si="227">N1417</f>
        <v>0 dep</v>
      </c>
      <c r="V1417" s="269" t="str">
        <f t="shared" si="227"/>
        <v>1 dep</v>
      </c>
      <c r="W1417" s="269" t="str">
        <f t="shared" si="227"/>
        <v>2 dep</v>
      </c>
      <c r="X1417" s="269" t="str">
        <f t="shared" si="227"/>
        <v>3 dep</v>
      </c>
      <c r="Y1417" s="269" t="str">
        <f t="shared" si="227"/>
        <v>4 dep</v>
      </c>
      <c r="Z1417" s="269" t="str">
        <f t="shared" si="227"/>
        <v>5 dep. ou +</v>
      </c>
    </row>
    <row r="1418" spans="13:26" x14ac:dyDescent="0.35">
      <c r="M1418" s="250">
        <v>1306</v>
      </c>
      <c r="N1418" s="251" t="str">
        <f>IF($R$11&lt;=M1418,IF($R$11&gt;=0,0,""),"")</f>
        <v/>
      </c>
      <c r="O1418" s="251" t="str">
        <f>IF($R$11&lt;=M1418,IF($R$11&gt;=0,0,""),"")</f>
        <v/>
      </c>
      <c r="P1418" s="251" t="str">
        <f>IF($R$11&lt;=M1418,IF($R$11&gt;=0,0,""),"")</f>
        <v/>
      </c>
      <c r="Q1418" s="251" t="str">
        <f>IF($R$11&lt;=M1418,IF($R$11&gt;=0,0,""),"")</f>
        <v/>
      </c>
      <c r="R1418" s="251" t="str">
        <f>IF($R$11&lt;=M1418,IF($R$11&gt;=0,0,""),"")</f>
        <v/>
      </c>
      <c r="S1418" s="251" t="str">
        <f>IF($R$11&lt;=M1418,IF($R$11&gt;=0,0,""),"")</f>
        <v/>
      </c>
      <c r="T1418" s="253"/>
      <c r="U1418" s="298">
        <v>0</v>
      </c>
      <c r="V1418" s="298">
        <v>0</v>
      </c>
      <c r="W1418" s="298">
        <v>0</v>
      </c>
      <c r="X1418" s="298">
        <v>0</v>
      </c>
      <c r="Y1418" s="298">
        <v>0</v>
      </c>
      <c r="Z1418" s="298">
        <v>0</v>
      </c>
    </row>
    <row r="1419" spans="13:26" x14ac:dyDescent="0.35">
      <c r="M1419" s="250">
        <v>1409</v>
      </c>
      <c r="N1419" s="251" t="str">
        <f t="shared" ref="N1419:N1446" si="228">IF($R$11&lt;=M1419,IF($R$11&gt;=M1418+0.01,U1419,""),"")</f>
        <v/>
      </c>
      <c r="O1419" s="251" t="str">
        <f t="shared" ref="O1419:O1446" si="229">IF($R$11&lt;=M1419,IF($R$11&gt;=M1418+0.01,V1419,""),"")</f>
        <v/>
      </c>
      <c r="P1419" s="251" t="str">
        <f t="shared" ref="P1419:P1446" si="230">IF($R$11&lt;=M1419,IF($R$11&gt;=M1418+0.01,W1419,""),"")</f>
        <v/>
      </c>
      <c r="Q1419" s="251" t="str">
        <f t="shared" ref="Q1419:Q1446" si="231">IF($R$11&lt;=M1419,IF($R$11&gt;=M1418+0.01,X1419,""),"")</f>
        <v/>
      </c>
      <c r="R1419" s="251" t="str">
        <f t="shared" ref="R1419:R1446" si="232">IF($R$11&lt;=M1419,IF($R$11&gt;=M1418+0.01,Y1419,""),"")</f>
        <v/>
      </c>
      <c r="S1419" s="252" t="str">
        <f t="shared" ref="S1419:S1446" si="233">IF($R$11&lt;=M1419,IF($R$11&gt;=M1418+0.01,Z1419,""),"")</f>
        <v/>
      </c>
      <c r="T1419" s="253"/>
      <c r="U1419" s="298">
        <v>1.1299999999999999E-2</v>
      </c>
      <c r="V1419" s="298">
        <v>3.8E-3</v>
      </c>
      <c r="W1419" s="298">
        <v>3.8E-3</v>
      </c>
      <c r="X1419" s="298">
        <v>0</v>
      </c>
      <c r="Y1419" s="298">
        <v>0</v>
      </c>
      <c r="Z1419" s="298">
        <v>0</v>
      </c>
    </row>
    <row r="1420" spans="13:26" x14ac:dyDescent="0.35">
      <c r="M1420" s="250">
        <v>1450</v>
      </c>
      <c r="N1420" s="251" t="str">
        <f t="shared" si="228"/>
        <v/>
      </c>
      <c r="O1420" s="251" t="str">
        <f t="shared" si="229"/>
        <v/>
      </c>
      <c r="P1420" s="251" t="str">
        <f t="shared" si="230"/>
        <v/>
      </c>
      <c r="Q1420" s="251" t="str">
        <f t="shared" si="231"/>
        <v/>
      </c>
      <c r="R1420" s="251" t="str">
        <f t="shared" si="232"/>
        <v/>
      </c>
      <c r="S1420" s="252" t="str">
        <f t="shared" si="233"/>
        <v/>
      </c>
      <c r="T1420" s="253"/>
      <c r="U1420" s="298">
        <v>3.3799999999999997E-2</v>
      </c>
      <c r="V1420" s="298">
        <v>1.8800000000000001E-2</v>
      </c>
      <c r="W1420" s="298">
        <v>1.8800000000000001E-2</v>
      </c>
      <c r="X1420" s="298">
        <v>1.4999999999999999E-2</v>
      </c>
      <c r="Y1420" s="298">
        <v>1.4999999999999999E-2</v>
      </c>
      <c r="Z1420" s="298">
        <v>1.4999999999999999E-2</v>
      </c>
    </row>
    <row r="1421" spans="13:26" x14ac:dyDescent="0.35">
      <c r="M1421" s="250">
        <v>1634</v>
      </c>
      <c r="N1421" s="251">
        <f t="shared" si="228"/>
        <v>4.1300000000000003E-2</v>
      </c>
      <c r="O1421" s="251">
        <f t="shared" si="229"/>
        <v>3.3799999999999997E-2</v>
      </c>
      <c r="P1421" s="251">
        <f t="shared" si="230"/>
        <v>2.63E-2</v>
      </c>
      <c r="Q1421" s="251">
        <f t="shared" si="231"/>
        <v>1.4999999999999999E-2</v>
      </c>
      <c r="R1421" s="251">
        <f t="shared" si="232"/>
        <v>1.4999999999999999E-2</v>
      </c>
      <c r="S1421" s="252">
        <f t="shared" si="233"/>
        <v>1.4999999999999999E-2</v>
      </c>
      <c r="T1421" s="253"/>
      <c r="U1421" s="298">
        <v>4.1300000000000003E-2</v>
      </c>
      <c r="V1421" s="298">
        <v>3.3799999999999997E-2</v>
      </c>
      <c r="W1421" s="298">
        <v>2.63E-2</v>
      </c>
      <c r="X1421" s="298">
        <v>1.4999999999999999E-2</v>
      </c>
      <c r="Y1421" s="298">
        <v>1.4999999999999999E-2</v>
      </c>
      <c r="Z1421" s="298">
        <v>1.4999999999999999E-2</v>
      </c>
    </row>
    <row r="1422" spans="13:26" x14ac:dyDescent="0.35">
      <c r="M1422" s="250">
        <v>1950</v>
      </c>
      <c r="N1422" s="251" t="str">
        <f t="shared" si="228"/>
        <v/>
      </c>
      <c r="O1422" s="251" t="str">
        <f t="shared" si="229"/>
        <v/>
      </c>
      <c r="P1422" s="251" t="str">
        <f t="shared" si="230"/>
        <v/>
      </c>
      <c r="Q1422" s="251" t="str">
        <f t="shared" si="231"/>
        <v/>
      </c>
      <c r="R1422" s="251" t="str">
        <f t="shared" si="232"/>
        <v/>
      </c>
      <c r="S1422" s="252" t="str">
        <f t="shared" si="233"/>
        <v/>
      </c>
      <c r="T1422" s="253"/>
      <c r="U1422" s="298">
        <v>5.6000000000000001E-2</v>
      </c>
      <c r="V1422" s="298">
        <v>4.8000000000000001E-2</v>
      </c>
      <c r="W1422" s="298">
        <v>4.8000000000000001E-2</v>
      </c>
      <c r="X1422" s="298">
        <v>2.8000000000000001E-2</v>
      </c>
      <c r="Y1422" s="298">
        <v>2.8000000000000001E-2</v>
      </c>
      <c r="Z1422" s="298">
        <v>1.6E-2</v>
      </c>
    </row>
    <row r="1423" spans="13:26" x14ac:dyDescent="0.35">
      <c r="M1423" s="250">
        <v>2072</v>
      </c>
      <c r="N1423" s="251" t="str">
        <f t="shared" si="228"/>
        <v/>
      </c>
      <c r="O1423" s="251" t="str">
        <f t="shared" si="229"/>
        <v/>
      </c>
      <c r="P1423" s="251" t="str">
        <f t="shared" si="230"/>
        <v/>
      </c>
      <c r="Q1423" s="251" t="str">
        <f t="shared" si="231"/>
        <v/>
      </c>
      <c r="R1423" s="251" t="str">
        <f t="shared" si="232"/>
        <v/>
      </c>
      <c r="S1423" s="252" t="str">
        <f t="shared" si="233"/>
        <v/>
      </c>
      <c r="T1423" s="253"/>
      <c r="U1423" s="298">
        <v>6.8000000000000005E-2</v>
      </c>
      <c r="V1423" s="298">
        <v>0.06</v>
      </c>
      <c r="W1423" s="298">
        <v>0.06</v>
      </c>
      <c r="X1423" s="298">
        <v>4.3999999999999997E-2</v>
      </c>
      <c r="Y1423" s="298">
        <v>4.3999999999999997E-2</v>
      </c>
      <c r="Z1423" s="298">
        <v>3.5999999999999997E-2</v>
      </c>
    </row>
    <row r="1424" spans="13:26" x14ac:dyDescent="0.35">
      <c r="M1424" s="250">
        <v>2206</v>
      </c>
      <c r="N1424" s="251" t="str">
        <f t="shared" si="228"/>
        <v/>
      </c>
      <c r="O1424" s="251" t="str">
        <f t="shared" si="229"/>
        <v/>
      </c>
      <c r="P1424" s="251" t="str">
        <f t="shared" si="230"/>
        <v/>
      </c>
      <c r="Q1424" s="251" t="str">
        <f t="shared" si="231"/>
        <v/>
      </c>
      <c r="R1424" s="251" t="str">
        <f t="shared" si="232"/>
        <v/>
      </c>
      <c r="S1424" s="252" t="str">
        <f t="shared" si="233"/>
        <v/>
      </c>
      <c r="T1424" s="253"/>
      <c r="U1424" s="298">
        <v>8.4000000000000005E-2</v>
      </c>
      <c r="V1424" s="298">
        <v>6.8000000000000005E-2</v>
      </c>
      <c r="W1424" s="298">
        <v>6.8000000000000005E-2</v>
      </c>
      <c r="X1424" s="298">
        <v>0.06</v>
      </c>
      <c r="Y1424" s="298">
        <v>5.1999999999999998E-2</v>
      </c>
      <c r="Z1424" s="298">
        <v>5.1999999999999998E-2</v>
      </c>
    </row>
    <row r="1425" spans="13:26" x14ac:dyDescent="0.35">
      <c r="M1425" s="250">
        <v>2307</v>
      </c>
      <c r="N1425" s="251" t="str">
        <f t="shared" si="228"/>
        <v/>
      </c>
      <c r="O1425" s="251" t="str">
        <f t="shared" si="229"/>
        <v/>
      </c>
      <c r="P1425" s="251" t="str">
        <f t="shared" si="230"/>
        <v/>
      </c>
      <c r="Q1425" s="251" t="str">
        <f t="shared" si="231"/>
        <v/>
      </c>
      <c r="R1425" s="251" t="str">
        <f t="shared" si="232"/>
        <v/>
      </c>
      <c r="S1425" s="252" t="str">
        <f t="shared" si="233"/>
        <v/>
      </c>
      <c r="T1425" s="253"/>
      <c r="U1425" s="298">
        <v>0.104</v>
      </c>
      <c r="V1425" s="298">
        <v>8.7999999999999995E-2</v>
      </c>
      <c r="W1425" s="298">
        <v>0.08</v>
      </c>
      <c r="X1425" s="298">
        <v>7.1999999999999995E-2</v>
      </c>
      <c r="Y1425" s="298">
        <v>6.4000000000000001E-2</v>
      </c>
      <c r="Z1425" s="298">
        <v>6.4000000000000001E-2</v>
      </c>
    </row>
    <row r="1426" spans="13:26" x14ac:dyDescent="0.35">
      <c r="M1426" s="250">
        <v>2471</v>
      </c>
      <c r="N1426" s="251" t="str">
        <f t="shared" si="228"/>
        <v/>
      </c>
      <c r="O1426" s="251" t="str">
        <f t="shared" si="229"/>
        <v/>
      </c>
      <c r="P1426" s="251" t="str">
        <f t="shared" si="230"/>
        <v/>
      </c>
      <c r="Q1426" s="251" t="str">
        <f t="shared" si="231"/>
        <v/>
      </c>
      <c r="R1426" s="251" t="str">
        <f t="shared" si="232"/>
        <v/>
      </c>
      <c r="S1426" s="252" t="str">
        <f t="shared" si="233"/>
        <v/>
      </c>
      <c r="T1426" s="253"/>
      <c r="U1426" s="298">
        <v>0.12</v>
      </c>
      <c r="V1426" s="298">
        <v>0.104</v>
      </c>
      <c r="W1426" s="298">
        <v>9.6000000000000002E-2</v>
      </c>
      <c r="X1426" s="298">
        <v>8.7999999999999995E-2</v>
      </c>
      <c r="Y1426" s="298">
        <v>0.08</v>
      </c>
      <c r="Z1426" s="298">
        <v>7.1999999999999995E-2</v>
      </c>
    </row>
    <row r="1427" spans="13:26" x14ac:dyDescent="0.35">
      <c r="M1427" s="250">
        <v>2553</v>
      </c>
      <c r="N1427" s="251" t="str">
        <f t="shared" si="228"/>
        <v/>
      </c>
      <c r="O1427" s="251" t="str">
        <f t="shared" si="229"/>
        <v/>
      </c>
      <c r="P1427" s="251" t="str">
        <f t="shared" si="230"/>
        <v/>
      </c>
      <c r="Q1427" s="251" t="str">
        <f t="shared" si="231"/>
        <v/>
      </c>
      <c r="R1427" s="251" t="str">
        <f t="shared" si="232"/>
        <v/>
      </c>
      <c r="S1427" s="252" t="str">
        <f t="shared" si="233"/>
        <v/>
      </c>
      <c r="T1427" s="253"/>
      <c r="U1427" s="298">
        <v>0.128</v>
      </c>
      <c r="V1427" s="298">
        <v>0.12</v>
      </c>
      <c r="W1427" s="298">
        <v>0.112</v>
      </c>
      <c r="X1427" s="298">
        <v>0.104</v>
      </c>
      <c r="Y1427" s="298">
        <v>8.7999999999999995E-2</v>
      </c>
      <c r="Z1427" s="298">
        <v>8.7999999999999995E-2</v>
      </c>
    </row>
    <row r="1428" spans="13:26" x14ac:dyDescent="0.35">
      <c r="M1428" s="250">
        <v>2655</v>
      </c>
      <c r="N1428" s="251" t="str">
        <f t="shared" si="228"/>
        <v/>
      </c>
      <c r="O1428" s="251" t="str">
        <f t="shared" si="229"/>
        <v/>
      </c>
      <c r="P1428" s="251" t="str">
        <f t="shared" si="230"/>
        <v/>
      </c>
      <c r="Q1428" s="251" t="str">
        <f t="shared" si="231"/>
        <v/>
      </c>
      <c r="R1428" s="251" t="str">
        <f t="shared" si="232"/>
        <v/>
      </c>
      <c r="S1428" s="252" t="str">
        <f t="shared" si="233"/>
        <v/>
      </c>
      <c r="T1428" s="253"/>
      <c r="U1428" s="298">
        <v>0.13600000000000001</v>
      </c>
      <c r="V1428" s="298">
        <v>0.128</v>
      </c>
      <c r="W1428" s="298">
        <v>0.12</v>
      </c>
      <c r="X1428" s="298">
        <v>0.112</v>
      </c>
      <c r="Y1428" s="298">
        <v>0.104</v>
      </c>
      <c r="Z1428" s="298">
        <v>0.104</v>
      </c>
    </row>
    <row r="1429" spans="13:26" x14ac:dyDescent="0.35">
      <c r="M1429" s="250">
        <v>2920</v>
      </c>
      <c r="N1429" s="251" t="str">
        <f t="shared" si="228"/>
        <v/>
      </c>
      <c r="O1429" s="251" t="str">
        <f t="shared" si="229"/>
        <v/>
      </c>
      <c r="P1429" s="251" t="str">
        <f t="shared" si="230"/>
        <v/>
      </c>
      <c r="Q1429" s="251" t="str">
        <f t="shared" si="231"/>
        <v/>
      </c>
      <c r="R1429" s="251" t="str">
        <f t="shared" si="232"/>
        <v/>
      </c>
      <c r="S1429" s="252" t="str">
        <f t="shared" si="233"/>
        <v/>
      </c>
      <c r="T1429" s="253"/>
      <c r="U1429" s="298">
        <v>0.14399999999999999</v>
      </c>
      <c r="V1429" s="298">
        <v>0.13600000000000001</v>
      </c>
      <c r="W1429" s="298">
        <v>0.128</v>
      </c>
      <c r="X1429" s="298">
        <v>0.12</v>
      </c>
      <c r="Y1429" s="298">
        <v>0.12</v>
      </c>
      <c r="Z1429" s="298">
        <v>0.12</v>
      </c>
    </row>
    <row r="1430" spans="13:26" x14ac:dyDescent="0.35">
      <c r="M1430" s="250">
        <v>3237</v>
      </c>
      <c r="N1430" s="251" t="str">
        <f t="shared" si="228"/>
        <v/>
      </c>
      <c r="O1430" s="251" t="str">
        <f t="shared" si="229"/>
        <v/>
      </c>
      <c r="P1430" s="251" t="str">
        <f t="shared" si="230"/>
        <v/>
      </c>
      <c r="Q1430" s="251" t="str">
        <f t="shared" si="231"/>
        <v/>
      </c>
      <c r="R1430" s="251" t="str">
        <f t="shared" si="232"/>
        <v/>
      </c>
      <c r="S1430" s="252" t="str">
        <f t="shared" si="233"/>
        <v/>
      </c>
      <c r="T1430" s="253"/>
      <c r="U1430" s="298">
        <v>0.152</v>
      </c>
      <c r="V1430" s="298">
        <v>0.14399999999999999</v>
      </c>
      <c r="W1430" s="298">
        <v>0.13600000000000001</v>
      </c>
      <c r="X1430" s="298">
        <v>0.128</v>
      </c>
      <c r="Y1430" s="298">
        <v>0.128</v>
      </c>
      <c r="Z1430" s="298">
        <v>0.128</v>
      </c>
    </row>
    <row r="1431" spans="13:26" x14ac:dyDescent="0.35">
      <c r="M1431" s="250">
        <v>3574</v>
      </c>
      <c r="N1431" s="251" t="str">
        <f t="shared" si="228"/>
        <v/>
      </c>
      <c r="O1431" s="251" t="str">
        <f t="shared" si="229"/>
        <v/>
      </c>
      <c r="P1431" s="251" t="str">
        <f t="shared" si="230"/>
        <v/>
      </c>
      <c r="Q1431" s="251" t="str">
        <f t="shared" si="231"/>
        <v/>
      </c>
      <c r="R1431" s="251" t="str">
        <f t="shared" si="232"/>
        <v/>
      </c>
      <c r="S1431" s="252" t="str">
        <f t="shared" si="233"/>
        <v/>
      </c>
      <c r="T1431" s="253"/>
      <c r="U1431" s="298">
        <v>0.16</v>
      </c>
      <c r="V1431" s="298">
        <v>0.152</v>
      </c>
      <c r="W1431" s="298">
        <v>0.14399999999999999</v>
      </c>
      <c r="X1431" s="298">
        <v>0.13600000000000001</v>
      </c>
      <c r="Y1431" s="298">
        <v>0.13600000000000001</v>
      </c>
      <c r="Z1431" s="298">
        <v>0.13600000000000001</v>
      </c>
    </row>
    <row r="1432" spans="13:26" x14ac:dyDescent="0.35">
      <c r="M1432" s="250">
        <v>3706</v>
      </c>
      <c r="N1432" s="251" t="str">
        <f t="shared" si="228"/>
        <v/>
      </c>
      <c r="O1432" s="251" t="str">
        <f t="shared" si="229"/>
        <v/>
      </c>
      <c r="P1432" s="251" t="str">
        <f t="shared" si="230"/>
        <v/>
      </c>
      <c r="Q1432" s="251" t="str">
        <f t="shared" si="231"/>
        <v/>
      </c>
      <c r="R1432" s="251" t="str">
        <f t="shared" si="232"/>
        <v/>
      </c>
      <c r="S1432" s="252" t="str">
        <f t="shared" si="233"/>
        <v/>
      </c>
      <c r="T1432" s="253"/>
      <c r="U1432" s="298">
        <v>0.16800000000000001</v>
      </c>
      <c r="V1432" s="298">
        <v>0.16</v>
      </c>
      <c r="W1432" s="298">
        <v>0.16</v>
      </c>
      <c r="X1432" s="298">
        <v>0.14399999999999999</v>
      </c>
      <c r="Y1432" s="298">
        <v>0.14399999999999999</v>
      </c>
      <c r="Z1432" s="298">
        <v>0.14399999999999999</v>
      </c>
    </row>
    <row r="1433" spans="13:26" x14ac:dyDescent="0.35">
      <c r="M1433" s="250">
        <v>3921</v>
      </c>
      <c r="N1433" s="251" t="str">
        <f t="shared" si="228"/>
        <v/>
      </c>
      <c r="O1433" s="251" t="str">
        <f t="shared" si="229"/>
        <v/>
      </c>
      <c r="P1433" s="251" t="str">
        <f t="shared" si="230"/>
        <v/>
      </c>
      <c r="Q1433" s="251" t="str">
        <f t="shared" si="231"/>
        <v/>
      </c>
      <c r="R1433" s="251" t="str">
        <f t="shared" si="232"/>
        <v/>
      </c>
      <c r="S1433" s="252" t="str">
        <f t="shared" si="233"/>
        <v/>
      </c>
      <c r="T1433" s="253"/>
      <c r="U1433" s="298">
        <v>0.17599999999999999</v>
      </c>
      <c r="V1433" s="298">
        <v>0.16800000000000001</v>
      </c>
      <c r="W1433" s="298">
        <v>0.16800000000000001</v>
      </c>
      <c r="X1433" s="298">
        <v>0.152</v>
      </c>
      <c r="Y1433" s="298">
        <v>0.152</v>
      </c>
      <c r="Z1433" s="298">
        <v>0.152</v>
      </c>
    </row>
    <row r="1434" spans="13:26" x14ac:dyDescent="0.35">
      <c r="M1434" s="250">
        <v>4339</v>
      </c>
      <c r="N1434" s="251" t="str">
        <f t="shared" si="228"/>
        <v/>
      </c>
      <c r="O1434" s="251" t="str">
        <f t="shared" si="229"/>
        <v/>
      </c>
      <c r="P1434" s="251" t="str">
        <f t="shared" si="230"/>
        <v/>
      </c>
      <c r="Q1434" s="251" t="str">
        <f t="shared" si="231"/>
        <v/>
      </c>
      <c r="R1434" s="251" t="str">
        <f t="shared" si="232"/>
        <v/>
      </c>
      <c r="S1434" s="252" t="str">
        <f t="shared" si="233"/>
        <v/>
      </c>
      <c r="T1434" s="253"/>
      <c r="U1434" s="298">
        <v>0.192</v>
      </c>
      <c r="V1434" s="298">
        <v>0.184</v>
      </c>
      <c r="W1434" s="298">
        <v>0.184</v>
      </c>
      <c r="X1434" s="298">
        <v>0.16800000000000001</v>
      </c>
      <c r="Y1434" s="298">
        <v>0.16800000000000001</v>
      </c>
      <c r="Z1434" s="298">
        <v>0.16800000000000001</v>
      </c>
    </row>
    <row r="1435" spans="13:26" x14ac:dyDescent="0.35">
      <c r="M1435" s="250">
        <v>4606</v>
      </c>
      <c r="N1435" s="251" t="str">
        <f t="shared" si="228"/>
        <v/>
      </c>
      <c r="O1435" s="251" t="str">
        <f t="shared" si="229"/>
        <v/>
      </c>
      <c r="P1435" s="251" t="str">
        <f t="shared" si="230"/>
        <v/>
      </c>
      <c r="Q1435" s="251" t="str">
        <f t="shared" si="231"/>
        <v/>
      </c>
      <c r="R1435" s="251" t="str">
        <f t="shared" si="232"/>
        <v/>
      </c>
      <c r="S1435" s="252" t="str">
        <f t="shared" si="233"/>
        <v/>
      </c>
      <c r="T1435" s="253"/>
      <c r="U1435" s="298">
        <v>0.2</v>
      </c>
      <c r="V1435" s="298">
        <v>0.192</v>
      </c>
      <c r="W1435" s="298">
        <v>0.192</v>
      </c>
      <c r="X1435" s="298">
        <v>0.17599999999999999</v>
      </c>
      <c r="Y1435" s="298">
        <v>0.17599999999999999</v>
      </c>
      <c r="Z1435" s="298">
        <v>0.17599999999999999</v>
      </c>
    </row>
    <row r="1436" spans="13:26" x14ac:dyDescent="0.35">
      <c r="M1436" s="250">
        <v>4901</v>
      </c>
      <c r="N1436" s="251" t="str">
        <f t="shared" si="228"/>
        <v/>
      </c>
      <c r="O1436" s="251" t="str">
        <f t="shared" si="229"/>
        <v/>
      </c>
      <c r="P1436" s="251" t="str">
        <f t="shared" si="230"/>
        <v/>
      </c>
      <c r="Q1436" s="251" t="str">
        <f t="shared" si="231"/>
        <v/>
      </c>
      <c r="R1436" s="251" t="str">
        <f t="shared" si="232"/>
        <v/>
      </c>
      <c r="S1436" s="252" t="str">
        <f t="shared" si="233"/>
        <v/>
      </c>
      <c r="T1436" s="253"/>
      <c r="U1436" s="298">
        <v>0.20799999999999999</v>
      </c>
      <c r="V1436" s="298">
        <v>0.2</v>
      </c>
      <c r="W1436" s="298">
        <v>0.2</v>
      </c>
      <c r="X1436" s="298">
        <v>0.184</v>
      </c>
      <c r="Y1436" s="298">
        <v>0.184</v>
      </c>
      <c r="Z1436" s="298">
        <v>0.184</v>
      </c>
    </row>
    <row r="1437" spans="13:26" x14ac:dyDescent="0.35">
      <c r="M1437" s="250">
        <v>5188</v>
      </c>
      <c r="N1437" s="251" t="str">
        <f t="shared" si="228"/>
        <v/>
      </c>
      <c r="O1437" s="251" t="str">
        <f t="shared" si="229"/>
        <v/>
      </c>
      <c r="P1437" s="251" t="str">
        <f t="shared" si="230"/>
        <v/>
      </c>
      <c r="Q1437" s="251" t="str">
        <f t="shared" si="231"/>
        <v/>
      </c>
      <c r="R1437" s="251" t="str">
        <f t="shared" si="232"/>
        <v/>
      </c>
      <c r="S1437" s="252" t="str">
        <f t="shared" si="233"/>
        <v/>
      </c>
      <c r="T1437" s="253"/>
      <c r="U1437" s="298">
        <v>0.216</v>
      </c>
      <c r="V1437" s="298">
        <v>0.20799999999999999</v>
      </c>
      <c r="W1437" s="298">
        <v>0.20799999999999999</v>
      </c>
      <c r="X1437" s="298">
        <v>0.192</v>
      </c>
      <c r="Y1437" s="298">
        <v>0.192</v>
      </c>
      <c r="Z1437" s="298">
        <v>0.192</v>
      </c>
    </row>
    <row r="1438" spans="13:26" x14ac:dyDescent="0.35">
      <c r="M1438" s="250">
        <v>5617</v>
      </c>
      <c r="N1438" s="251" t="str">
        <f t="shared" si="228"/>
        <v/>
      </c>
      <c r="O1438" s="251" t="str">
        <f t="shared" si="229"/>
        <v/>
      </c>
      <c r="P1438" s="251" t="str">
        <f t="shared" si="230"/>
        <v/>
      </c>
      <c r="Q1438" s="251" t="str">
        <f t="shared" si="231"/>
        <v/>
      </c>
      <c r="R1438" s="251" t="str">
        <f t="shared" si="232"/>
        <v/>
      </c>
      <c r="S1438" s="252" t="str">
        <f t="shared" si="233"/>
        <v/>
      </c>
      <c r="T1438" s="253"/>
      <c r="U1438" s="298">
        <v>0.224</v>
      </c>
      <c r="V1438" s="298">
        <v>0.216</v>
      </c>
      <c r="W1438" s="298">
        <v>0.216</v>
      </c>
      <c r="X1438" s="298">
        <v>0.20799999999999999</v>
      </c>
      <c r="Y1438" s="298">
        <v>0.2</v>
      </c>
      <c r="Z1438" s="298">
        <v>0.2</v>
      </c>
    </row>
    <row r="1439" spans="13:26" x14ac:dyDescent="0.35">
      <c r="M1439" s="250">
        <v>6045</v>
      </c>
      <c r="N1439" s="251" t="str">
        <f t="shared" si="228"/>
        <v/>
      </c>
      <c r="O1439" s="251" t="str">
        <f t="shared" si="229"/>
        <v/>
      </c>
      <c r="P1439" s="251" t="str">
        <f t="shared" si="230"/>
        <v/>
      </c>
      <c r="Q1439" s="251" t="str">
        <f t="shared" si="231"/>
        <v/>
      </c>
      <c r="R1439" s="251" t="str">
        <f t="shared" si="232"/>
        <v/>
      </c>
      <c r="S1439" s="252" t="str">
        <f t="shared" si="233"/>
        <v/>
      </c>
      <c r="T1439" s="253"/>
      <c r="U1439" s="298">
        <v>0.23599999999999999</v>
      </c>
      <c r="V1439" s="298">
        <v>0.22800000000000001</v>
      </c>
      <c r="W1439" s="298">
        <v>0.22800000000000001</v>
      </c>
      <c r="X1439" s="298">
        <v>0.22</v>
      </c>
      <c r="Y1439" s="298">
        <v>0.21199999999999999</v>
      </c>
      <c r="Z1439" s="298">
        <v>0.21199999999999999</v>
      </c>
    </row>
    <row r="1440" spans="13:26" x14ac:dyDescent="0.35">
      <c r="M1440" s="250">
        <v>6747</v>
      </c>
      <c r="N1440" s="251" t="str">
        <f t="shared" si="228"/>
        <v/>
      </c>
      <c r="O1440" s="251" t="str">
        <f t="shared" si="229"/>
        <v/>
      </c>
      <c r="P1440" s="251" t="str">
        <f t="shared" si="230"/>
        <v/>
      </c>
      <c r="Q1440" s="251" t="str">
        <f t="shared" si="231"/>
        <v/>
      </c>
      <c r="R1440" s="251" t="str">
        <f t="shared" si="232"/>
        <v/>
      </c>
      <c r="S1440" s="252" t="str">
        <f t="shared" si="233"/>
        <v/>
      </c>
      <c r="T1440" s="253"/>
      <c r="U1440" s="298">
        <v>0.24399999999999999</v>
      </c>
      <c r="V1440" s="298">
        <v>0.23599999999999999</v>
      </c>
      <c r="W1440" s="298">
        <v>0.23599999999999999</v>
      </c>
      <c r="X1440" s="298">
        <v>0.22800000000000001</v>
      </c>
      <c r="Y1440" s="298">
        <v>0.22</v>
      </c>
      <c r="Z1440" s="298">
        <v>0.22</v>
      </c>
    </row>
    <row r="1441" spans="13:26" x14ac:dyDescent="0.35">
      <c r="M1441" s="250">
        <v>7214</v>
      </c>
      <c r="N1441" s="251" t="str">
        <f t="shared" si="228"/>
        <v/>
      </c>
      <c r="O1441" s="251" t="str">
        <f t="shared" si="229"/>
        <v/>
      </c>
      <c r="P1441" s="251" t="str">
        <f t="shared" si="230"/>
        <v/>
      </c>
      <c r="Q1441" s="251" t="str">
        <f t="shared" si="231"/>
        <v/>
      </c>
      <c r="R1441" s="251" t="str">
        <f t="shared" si="232"/>
        <v/>
      </c>
      <c r="S1441" s="252" t="str">
        <f t="shared" si="233"/>
        <v/>
      </c>
      <c r="T1441" s="253"/>
      <c r="U1441" s="298">
        <v>0.252</v>
      </c>
      <c r="V1441" s="298">
        <v>0.24399999999999999</v>
      </c>
      <c r="W1441" s="298">
        <v>0.24399999999999999</v>
      </c>
      <c r="X1441" s="298">
        <v>0.23599999999999999</v>
      </c>
      <c r="Y1441" s="298">
        <v>0.22800000000000001</v>
      </c>
      <c r="Z1441" s="298">
        <v>0.22800000000000001</v>
      </c>
    </row>
    <row r="1442" spans="13:26" x14ac:dyDescent="0.35">
      <c r="M1442" s="250">
        <v>7793</v>
      </c>
      <c r="N1442" s="251" t="str">
        <f t="shared" si="228"/>
        <v/>
      </c>
      <c r="O1442" s="251" t="str">
        <f t="shared" si="229"/>
        <v/>
      </c>
      <c r="P1442" s="251" t="str">
        <f t="shared" si="230"/>
        <v/>
      </c>
      <c r="Q1442" s="251" t="str">
        <f t="shared" si="231"/>
        <v/>
      </c>
      <c r="R1442" s="251" t="str">
        <f t="shared" si="232"/>
        <v/>
      </c>
      <c r="S1442" s="252" t="str">
        <f t="shared" si="233"/>
        <v/>
      </c>
      <c r="T1442" s="253"/>
      <c r="U1442" s="298">
        <v>0.26</v>
      </c>
      <c r="V1442" s="298">
        <v>0.252</v>
      </c>
      <c r="W1442" s="298">
        <v>0.252</v>
      </c>
      <c r="X1442" s="298">
        <v>0.24399999999999999</v>
      </c>
      <c r="Y1442" s="298">
        <v>0.24399999999999999</v>
      </c>
      <c r="Z1442" s="298">
        <v>0.23599999999999999</v>
      </c>
    </row>
    <row r="1443" spans="13:26" x14ac:dyDescent="0.35">
      <c r="M1443" s="250">
        <v>8474</v>
      </c>
      <c r="N1443" s="251" t="str">
        <f t="shared" si="228"/>
        <v/>
      </c>
      <c r="O1443" s="251" t="str">
        <f t="shared" si="229"/>
        <v/>
      </c>
      <c r="P1443" s="251" t="str">
        <f t="shared" si="230"/>
        <v/>
      </c>
      <c r="Q1443" s="251" t="str">
        <f t="shared" si="231"/>
        <v/>
      </c>
      <c r="R1443" s="251" t="str">
        <f t="shared" si="232"/>
        <v/>
      </c>
      <c r="S1443" s="252" t="str">
        <f t="shared" si="233"/>
        <v/>
      </c>
      <c r="T1443" s="253"/>
      <c r="U1443" s="298">
        <v>0.26800000000000002</v>
      </c>
      <c r="V1443" s="298">
        <v>0.26</v>
      </c>
      <c r="W1443" s="298">
        <v>0.26</v>
      </c>
      <c r="X1443" s="298">
        <v>0.252</v>
      </c>
      <c r="Y1443" s="298">
        <v>0.252</v>
      </c>
      <c r="Z1443" s="298">
        <v>0.24399999999999999</v>
      </c>
    </row>
    <row r="1444" spans="13:26" x14ac:dyDescent="0.35">
      <c r="M1444" s="250">
        <v>9256</v>
      </c>
      <c r="N1444" s="251" t="str">
        <f t="shared" si="228"/>
        <v/>
      </c>
      <c r="O1444" s="251" t="str">
        <f t="shared" si="229"/>
        <v/>
      </c>
      <c r="P1444" s="251" t="str">
        <f t="shared" si="230"/>
        <v/>
      </c>
      <c r="Q1444" s="251" t="str">
        <f t="shared" si="231"/>
        <v/>
      </c>
      <c r="R1444" s="251" t="str">
        <f t="shared" si="232"/>
        <v/>
      </c>
      <c r="S1444" s="252" t="str">
        <f t="shared" si="233"/>
        <v/>
      </c>
      <c r="T1444" s="253"/>
      <c r="U1444" s="298">
        <v>0.27600000000000002</v>
      </c>
      <c r="V1444" s="298">
        <v>0.26800000000000002</v>
      </c>
      <c r="W1444" s="298">
        <v>0.26800000000000002</v>
      </c>
      <c r="X1444" s="298">
        <v>0.26</v>
      </c>
      <c r="Y1444" s="298">
        <v>0.252</v>
      </c>
      <c r="Z1444" s="298">
        <v>0.252</v>
      </c>
    </row>
    <row r="1445" spans="13:26" x14ac:dyDescent="0.35">
      <c r="M1445" s="250">
        <v>9988</v>
      </c>
      <c r="N1445" s="251" t="str">
        <f t="shared" si="228"/>
        <v/>
      </c>
      <c r="O1445" s="251" t="str">
        <f t="shared" si="229"/>
        <v/>
      </c>
      <c r="P1445" s="251" t="str">
        <f t="shared" si="230"/>
        <v/>
      </c>
      <c r="Q1445" s="251" t="str">
        <f t="shared" si="231"/>
        <v/>
      </c>
      <c r="R1445" s="251" t="str">
        <f t="shared" si="232"/>
        <v/>
      </c>
      <c r="S1445" s="252" t="str">
        <f t="shared" si="233"/>
        <v/>
      </c>
      <c r="T1445" s="253"/>
      <c r="U1445" s="298">
        <v>0.28799999999999998</v>
      </c>
      <c r="V1445" s="298">
        <v>0.28000000000000003</v>
      </c>
      <c r="W1445" s="298">
        <v>0.28000000000000003</v>
      </c>
      <c r="X1445" s="298">
        <v>0.27200000000000002</v>
      </c>
      <c r="Y1445" s="298">
        <v>0.27200000000000002</v>
      </c>
      <c r="Z1445" s="298">
        <v>0.26400000000000001</v>
      </c>
    </row>
    <row r="1446" spans="13:26" x14ac:dyDescent="0.35">
      <c r="M1446" s="250">
        <v>12497</v>
      </c>
      <c r="N1446" s="251" t="str">
        <f t="shared" si="228"/>
        <v/>
      </c>
      <c r="O1446" s="251" t="str">
        <f t="shared" si="229"/>
        <v/>
      </c>
      <c r="P1446" s="251" t="str">
        <f t="shared" si="230"/>
        <v/>
      </c>
      <c r="Q1446" s="251" t="str">
        <f t="shared" si="231"/>
        <v/>
      </c>
      <c r="R1446" s="251" t="str">
        <f t="shared" si="232"/>
        <v/>
      </c>
      <c r="S1446" s="252" t="str">
        <f t="shared" si="233"/>
        <v/>
      </c>
      <c r="T1446" s="253"/>
      <c r="U1446" s="298">
        <v>0.29599999999999999</v>
      </c>
      <c r="V1446" s="298">
        <v>0.28799999999999998</v>
      </c>
      <c r="W1446" s="298">
        <v>0.28799999999999998</v>
      </c>
      <c r="X1446" s="298">
        <v>0.28000000000000003</v>
      </c>
      <c r="Y1446" s="298">
        <v>0.28000000000000003</v>
      </c>
      <c r="Z1446" s="298">
        <v>0.27200000000000002</v>
      </c>
    </row>
    <row r="1447" spans="13:26" x14ac:dyDescent="0.35">
      <c r="M1447" s="250">
        <v>12497</v>
      </c>
      <c r="N1447" s="251" t="str">
        <f>IF($R$11&gt;=M1446+0.01,U1447,"")</f>
        <v/>
      </c>
      <c r="O1447" s="251" t="str">
        <f>IF($R$11&gt;=M1446,V1447,"")</f>
        <v/>
      </c>
      <c r="P1447" s="251" t="str">
        <f>IF($R$11&gt;=M1446,W1447,"")</f>
        <v/>
      </c>
      <c r="Q1447" s="251" t="str">
        <f>IF($R$11&gt;=M1446,X1447,"")</f>
        <v/>
      </c>
      <c r="R1447" s="252" t="str">
        <f>IF($R$11&gt;=M1446,Y1447,"")</f>
        <v/>
      </c>
      <c r="S1447" s="251" t="str">
        <f>IF($R$11&gt;=M1446,Z1447,"")</f>
        <v/>
      </c>
      <c r="T1447" s="253"/>
      <c r="U1447" s="298">
        <v>0.30399999999999999</v>
      </c>
      <c r="V1447" s="298">
        <v>0.29599999999999999</v>
      </c>
      <c r="W1447" s="298">
        <v>0.29599999999999999</v>
      </c>
      <c r="X1447" s="298">
        <v>0.28799999999999998</v>
      </c>
      <c r="Y1447" s="298">
        <v>0.28799999999999998</v>
      </c>
      <c r="Z1447" s="298">
        <v>0.28000000000000003</v>
      </c>
    </row>
    <row r="1448" spans="13:26" x14ac:dyDescent="0.35">
      <c r="M1448" s="249"/>
      <c r="N1448" s="280" t="str">
        <f>IF($A$15=2,IF($A$2=10,IF($I$2=0,SUM(N1418:N1447),""),""),"")</f>
        <v/>
      </c>
      <c r="O1448" s="281" t="str">
        <f>IF($A$15=2,IF($A$2=10,IF($I$2=1,SUM(O1418:O1447),""),""),"")</f>
        <v/>
      </c>
      <c r="P1448" s="281" t="str">
        <f>IF($A$15=2,IF($A$2=10,IF($I$2=2,SUM(P1418:P1447),""),""),"")</f>
        <v/>
      </c>
      <c r="Q1448" s="281" t="str">
        <f>IF($A$15=2,IF($A$2=10,IF($I$2=3,SUM(Q1418:Q1447),""),""),"")</f>
        <v/>
      </c>
      <c r="R1448" s="281" t="str">
        <f>IF($A$15=2,IF($A$2=10,IF($I$2=4,SUM(R1418:R1447),""),""),"")</f>
        <v/>
      </c>
      <c r="S1448" s="282" t="str">
        <f>IF($A$15=2,IF($A$2=10,IF($I$2=5,SUM(S1418:S1447),""),""),"")</f>
        <v/>
      </c>
      <c r="T1448" s="260">
        <f>SUM(N1448:S1448)</f>
        <v>0</v>
      </c>
      <c r="U1448" s="254"/>
      <c r="V1448" s="254"/>
      <c r="W1448" s="254"/>
      <c r="X1448" s="254"/>
      <c r="Y1448" s="254"/>
      <c r="Z1448" s="254"/>
    </row>
    <row r="1449" spans="13:26" x14ac:dyDescent="0.35">
      <c r="M1449" s="249"/>
      <c r="N1449" s="249"/>
      <c r="O1449" s="249"/>
      <c r="P1449" s="249"/>
      <c r="Q1449" s="249"/>
      <c r="R1449" s="249"/>
      <c r="S1449" s="249"/>
      <c r="T1449" s="253"/>
      <c r="U1449" s="253"/>
      <c r="V1449" s="253"/>
      <c r="W1449" s="253"/>
      <c r="X1449" s="253"/>
      <c r="Y1449" s="253"/>
      <c r="Z1449" s="253"/>
    </row>
    <row r="1450" spans="13:26" x14ac:dyDescent="0.35">
      <c r="M1450" s="249"/>
      <c r="N1450" s="249"/>
      <c r="O1450" s="249"/>
      <c r="P1450" s="249"/>
      <c r="Q1450" s="249"/>
      <c r="R1450" s="249"/>
      <c r="S1450" s="249"/>
      <c r="T1450" s="253"/>
      <c r="U1450" s="253"/>
      <c r="V1450" s="253"/>
      <c r="W1450" s="253"/>
      <c r="X1450" s="253"/>
      <c r="Y1450" s="253"/>
      <c r="Z1450" s="253"/>
    </row>
    <row r="1451" spans="13:26" x14ac:dyDescent="0.35">
      <c r="M1451" s="249"/>
      <c r="N1451" s="249"/>
      <c r="O1451" s="249"/>
      <c r="P1451" s="249"/>
      <c r="Q1451" s="249"/>
      <c r="R1451" s="249"/>
      <c r="S1451" s="249"/>
      <c r="T1451" s="253"/>
      <c r="U1451" s="253"/>
      <c r="V1451" s="253"/>
      <c r="W1451" s="253"/>
      <c r="X1451" s="253"/>
      <c r="Y1451" s="253"/>
      <c r="Z1451" s="253"/>
    </row>
    <row r="1452" spans="13:26" x14ac:dyDescent="0.35">
      <c r="M1452" s="263" t="s">
        <v>147</v>
      </c>
      <c r="N1452" s="272"/>
      <c r="O1452" s="273" t="s">
        <v>181</v>
      </c>
      <c r="P1452" s="283"/>
      <c r="Q1452" s="273"/>
      <c r="R1452" s="273"/>
      <c r="S1452" s="273"/>
      <c r="T1452" s="253"/>
      <c r="U1452" s="275" t="str">
        <f>O1452</f>
        <v>Tabelas de IRS de retenção na fonte referente a 2018 nos Açores</v>
      </c>
      <c r="V1452" s="253"/>
      <c r="W1452" s="253"/>
      <c r="X1452" s="253"/>
      <c r="Y1452" s="253"/>
      <c r="Z1452" s="253"/>
    </row>
    <row r="1453" spans="13:26" x14ac:dyDescent="0.35">
      <c r="M1453" s="297"/>
      <c r="N1453" s="273"/>
      <c r="O1453" s="273" t="s">
        <v>208</v>
      </c>
      <c r="P1453" s="297"/>
      <c r="Q1453" s="273"/>
      <c r="R1453" s="273"/>
      <c r="S1453" s="297"/>
      <c r="T1453" s="253"/>
      <c r="U1453" s="275"/>
      <c r="V1453" s="253"/>
      <c r="W1453" s="253"/>
      <c r="X1453" s="253"/>
      <c r="Y1453" s="253"/>
      <c r="Z1453" s="253"/>
    </row>
    <row r="1454" spans="13:26" x14ac:dyDescent="0.35">
      <c r="M1454" s="273"/>
      <c r="N1454" s="273"/>
      <c r="O1454" s="273" t="s">
        <v>190</v>
      </c>
      <c r="P1454" s="297"/>
      <c r="Q1454" s="273"/>
      <c r="R1454" s="273"/>
      <c r="S1454" s="297"/>
      <c r="T1454" s="253"/>
      <c r="U1454" s="275" t="str">
        <f>O1454</f>
        <v>CASADO UNICO TITULAR - DEFICIENTE</v>
      </c>
      <c r="V1454" s="253"/>
      <c r="W1454" s="253"/>
      <c r="X1454" s="253"/>
      <c r="Y1454" s="253"/>
      <c r="Z1454" s="253"/>
    </row>
    <row r="1455" spans="13:26" x14ac:dyDescent="0.35">
      <c r="M1455" s="267" t="s">
        <v>154</v>
      </c>
      <c r="N1455" s="268" t="s">
        <v>155</v>
      </c>
      <c r="O1455" s="268" t="s">
        <v>156</v>
      </c>
      <c r="P1455" s="268" t="s">
        <v>157</v>
      </c>
      <c r="Q1455" s="268" t="s">
        <v>158</v>
      </c>
      <c r="R1455" s="268" t="s">
        <v>159</v>
      </c>
      <c r="S1455" s="268" t="s">
        <v>160</v>
      </c>
      <c r="T1455" s="253"/>
      <c r="U1455" s="269" t="str">
        <f t="shared" ref="U1455:Z1455" si="234">N1455</f>
        <v>0 dep</v>
      </c>
      <c r="V1455" s="269" t="str">
        <f t="shared" si="234"/>
        <v>1 dep</v>
      </c>
      <c r="W1455" s="269" t="str">
        <f t="shared" si="234"/>
        <v>2 dep</v>
      </c>
      <c r="X1455" s="269" t="str">
        <f t="shared" si="234"/>
        <v>3 dep</v>
      </c>
      <c r="Y1455" s="269" t="str">
        <f t="shared" si="234"/>
        <v>4 dep</v>
      </c>
      <c r="Z1455" s="269" t="str">
        <f t="shared" si="234"/>
        <v>5 dep. ou +</v>
      </c>
    </row>
    <row r="1456" spans="13:26" x14ac:dyDescent="0.35">
      <c r="M1456" s="250">
        <v>1645</v>
      </c>
      <c r="N1456" s="251">
        <f>IF($R$11&lt;=M1456,IF($R$11&gt;=0,0,""),"")</f>
        <v>0</v>
      </c>
      <c r="O1456" s="251">
        <f>IF($R$11&lt;=M1456,IF($R$11&gt;=0,0,""),"")</f>
        <v>0</v>
      </c>
      <c r="P1456" s="251">
        <f>IF($R$11&lt;=M1456,IF($R$11&gt;=0,0,""),"")</f>
        <v>0</v>
      </c>
      <c r="Q1456" s="251">
        <f>IF($R$11&lt;=M1456,IF($R$11&gt;=0,0,""),"")</f>
        <v>0</v>
      </c>
      <c r="R1456" s="251">
        <f>IF($R$11&lt;=M1456,IF($R$11&gt;=0,0,""),"")</f>
        <v>0</v>
      </c>
      <c r="S1456" s="251">
        <f>IF($R$11&lt;=M1456,IF($R$11&gt;=0,0,""),"")</f>
        <v>0</v>
      </c>
      <c r="T1456" s="253"/>
      <c r="U1456" s="298">
        <v>0</v>
      </c>
      <c r="V1456" s="298">
        <v>0</v>
      </c>
      <c r="W1456" s="298">
        <v>0</v>
      </c>
      <c r="X1456" s="298">
        <v>0</v>
      </c>
      <c r="Y1456" s="298">
        <v>0</v>
      </c>
      <c r="Z1456" s="298">
        <v>0</v>
      </c>
    </row>
    <row r="1457" spans="13:26" x14ac:dyDescent="0.35">
      <c r="M1457" s="250">
        <v>1747</v>
      </c>
      <c r="N1457" s="251" t="str">
        <f>IF($R$11&lt;=M1457,IF($R$11&gt;=M1456+0.01,U1457,""),"")</f>
        <v/>
      </c>
      <c r="O1457" s="251" t="str">
        <f>IF($R$11&lt;=M1457,IF($R$11&gt;=M1456+0.01,V1457,""),"")</f>
        <v/>
      </c>
      <c r="P1457" s="251" t="str">
        <f>IF($R$11&lt;=M1457,IF($R$11&gt;=M1456+0.01,W1457,""),"")</f>
        <v/>
      </c>
      <c r="Q1457" s="251" t="str">
        <f>IF($R$11&lt;=M1457,IF($R$11&gt;=M1456+0.01,X1457,""),"")</f>
        <v/>
      </c>
      <c r="R1457" s="251" t="str">
        <f>IF($R$11&lt;=M1457,IF($R$11&gt;=M1456+0.01,Y1457,""),"")</f>
        <v/>
      </c>
      <c r="S1457" s="252" t="str">
        <f>IF($R$11&lt;=M1457,IF($R$11&gt;=M1456+0.01,Z1457,""),"")</f>
        <v/>
      </c>
      <c r="T1457" s="253"/>
      <c r="U1457" s="298">
        <v>7.4999999999999997E-3</v>
      </c>
      <c r="V1457" s="298">
        <v>3.8E-3</v>
      </c>
      <c r="W1457" s="298">
        <v>3.8E-3</v>
      </c>
      <c r="X1457" s="298">
        <v>0</v>
      </c>
      <c r="Y1457" s="298">
        <v>0</v>
      </c>
      <c r="Z1457" s="298">
        <v>0</v>
      </c>
    </row>
    <row r="1458" spans="13:26" x14ac:dyDescent="0.35">
      <c r="M1458" s="250">
        <v>1899</v>
      </c>
      <c r="N1458" s="251" t="str">
        <f>IF($R$11&lt;=M1458,IF($R$11&gt;=M1457+0.01,U1458,""),"")</f>
        <v/>
      </c>
      <c r="O1458" s="251" t="str">
        <f>IF($R$11&lt;=M1458,IF($R$11&gt;=M1457+0.01,V1458,""),"")</f>
        <v/>
      </c>
      <c r="P1458" s="251" t="str">
        <f>IF($R$11&lt;=M1458,IF($R$11&gt;=M1457+0.01,W1458,""),"")</f>
        <v/>
      </c>
      <c r="Q1458" s="251" t="str">
        <f>IF($R$11&lt;=M1458,IF($R$11&gt;=M1457+0.01,X1458,""),"")</f>
        <v/>
      </c>
      <c r="R1458" s="251" t="str">
        <f>IF($R$11&lt;=M1458,IF($R$11&gt;=M1457+0.01,Y1458,""),"")</f>
        <v/>
      </c>
      <c r="S1458" s="252" t="str">
        <f>IF($R$11&lt;=M1458,IF($R$11&gt;=M1457+0.01,Z1458,""),"")</f>
        <v/>
      </c>
      <c r="T1458" s="253"/>
      <c r="U1458" s="298">
        <v>0.03</v>
      </c>
      <c r="V1458" s="298">
        <v>1.4999999999999999E-2</v>
      </c>
      <c r="W1458" s="298">
        <v>1.4999999999999999E-2</v>
      </c>
      <c r="X1458" s="298">
        <v>1.1299999999999999E-2</v>
      </c>
      <c r="Y1458" s="298">
        <v>1.1299999999999999E-2</v>
      </c>
      <c r="Z1458" s="298">
        <v>1.1299999999999999E-2</v>
      </c>
    </row>
    <row r="1459" spans="13:26" x14ac:dyDescent="0.35">
      <c r="M1459" s="250">
        <v>1966</v>
      </c>
      <c r="N1459" s="251" t="str">
        <f>IF($R$11&lt;=M1459,IF($R$11&gt;=M1458+0.01,U1459,""),"")</f>
        <v/>
      </c>
      <c r="O1459" s="251" t="str">
        <f>IF($R$11&lt;=M1459,IF($R$11&gt;=M1458+0.01,V1459,""),"")</f>
        <v/>
      </c>
      <c r="P1459" s="251" t="str">
        <f>IF($R$11&lt;=M1459,IF($R$11&gt;=M1458+0.01,W1459,""),"")</f>
        <v/>
      </c>
      <c r="Q1459" s="251" t="str">
        <f>IF($R$11&lt;=M1459,IF($R$11&gt;=M1458+0.01,X1459,""),"")</f>
        <v/>
      </c>
      <c r="R1459" s="251" t="str">
        <f>IF($R$11&lt;=M1459,IF($R$11&gt;=M1458+0.01,Y1459,""),"")</f>
        <v/>
      </c>
      <c r="S1459" s="252" t="str">
        <f>IF($R$11&lt;=M1459,IF($R$11&gt;=M1458+0.01,Z1459,""),"")</f>
        <v/>
      </c>
      <c r="T1459" s="253"/>
      <c r="U1459" s="298">
        <v>3.7499999999999999E-2</v>
      </c>
      <c r="V1459" s="298">
        <v>0.03</v>
      </c>
      <c r="W1459" s="298">
        <v>0.03</v>
      </c>
      <c r="X1459" s="298">
        <v>2.2499999999999999E-2</v>
      </c>
      <c r="Y1459" s="298">
        <v>1.1299999999999999E-2</v>
      </c>
      <c r="Z1459" s="298">
        <v>1.1299999999999999E-2</v>
      </c>
    </row>
    <row r="1460" spans="13:26" x14ac:dyDescent="0.35">
      <c r="M1460" s="250">
        <v>2334</v>
      </c>
      <c r="N1460" s="251" t="str">
        <f t="shared" ref="N1460:N1483" si="235">IF($R$11&lt;=M1460,IF($R$11&gt;=M1459+0.01,U1460,""),"")</f>
        <v/>
      </c>
      <c r="O1460" s="251" t="str">
        <f t="shared" ref="O1460:O1483" si="236">IF($R$11&lt;=M1460,IF($R$11&gt;=M1459+0.01,V1460,""),"")</f>
        <v/>
      </c>
      <c r="P1460" s="251" t="str">
        <f t="shared" ref="P1460:P1483" si="237">IF($R$11&lt;=M1460,IF($R$11&gt;=M1459+0.01,W1460,""),"")</f>
        <v/>
      </c>
      <c r="Q1460" s="251" t="str">
        <f t="shared" ref="Q1460:Q1483" si="238">IF($R$11&lt;=M1460,IF($R$11&gt;=M1459+0.01,X1460,""),"")</f>
        <v/>
      </c>
      <c r="R1460" s="251" t="str">
        <f t="shared" ref="R1460:R1483" si="239">IF($R$11&lt;=M1460,IF($R$11&gt;=M1459+0.01,Y1460,""),"")</f>
        <v/>
      </c>
      <c r="S1460" s="252" t="str">
        <f t="shared" ref="S1460:S1483" si="240">IF($R$11&lt;=M1460,IF($R$11&gt;=M1459+0.01,Z1460,""),"")</f>
        <v/>
      </c>
      <c r="T1460" s="253"/>
      <c r="U1460" s="298">
        <v>4.4999999999999998E-2</v>
      </c>
      <c r="V1460" s="298">
        <v>4.4999999999999998E-2</v>
      </c>
      <c r="W1460" s="298">
        <v>3.7499999999999999E-2</v>
      </c>
      <c r="X1460" s="298">
        <v>0.03</v>
      </c>
      <c r="Y1460" s="298">
        <v>2.2499999999999999E-2</v>
      </c>
      <c r="Z1460" s="298">
        <v>2.2499999999999999E-2</v>
      </c>
    </row>
    <row r="1461" spans="13:26" x14ac:dyDescent="0.35">
      <c r="M1461" s="250">
        <v>2512</v>
      </c>
      <c r="N1461" s="251" t="str">
        <f t="shared" si="235"/>
        <v/>
      </c>
      <c r="O1461" s="251" t="str">
        <f t="shared" si="236"/>
        <v/>
      </c>
      <c r="P1461" s="251" t="str">
        <f t="shared" si="237"/>
        <v/>
      </c>
      <c r="Q1461" s="251" t="str">
        <f t="shared" si="238"/>
        <v/>
      </c>
      <c r="R1461" s="251" t="str">
        <f t="shared" si="239"/>
        <v/>
      </c>
      <c r="S1461" s="252" t="str">
        <f t="shared" si="240"/>
        <v/>
      </c>
      <c r="T1461" s="253"/>
      <c r="U1461" s="298">
        <v>5.2499999999999998E-2</v>
      </c>
      <c r="V1461" s="298">
        <v>5.2499999999999998E-2</v>
      </c>
      <c r="W1461" s="298">
        <v>4.4999999999999998E-2</v>
      </c>
      <c r="X1461" s="298">
        <v>3.7499999999999999E-2</v>
      </c>
      <c r="Y1461" s="298">
        <v>0.03</v>
      </c>
      <c r="Z1461" s="298">
        <v>0.03</v>
      </c>
    </row>
    <row r="1462" spans="13:26" x14ac:dyDescent="0.35">
      <c r="M1462" s="250">
        <v>2758</v>
      </c>
      <c r="N1462" s="251" t="str">
        <f t="shared" si="235"/>
        <v/>
      </c>
      <c r="O1462" s="251" t="str">
        <f t="shared" si="236"/>
        <v/>
      </c>
      <c r="P1462" s="251" t="str">
        <f t="shared" si="237"/>
        <v/>
      </c>
      <c r="Q1462" s="251" t="str">
        <f t="shared" si="238"/>
        <v/>
      </c>
      <c r="R1462" s="251" t="str">
        <f t="shared" si="239"/>
        <v/>
      </c>
      <c r="S1462" s="252" t="str">
        <f t="shared" si="240"/>
        <v/>
      </c>
      <c r="T1462" s="253"/>
      <c r="U1462" s="298">
        <v>6.7500000000000004E-2</v>
      </c>
      <c r="V1462" s="298">
        <v>6.7500000000000004E-2</v>
      </c>
      <c r="W1462" s="298">
        <v>0.06</v>
      </c>
      <c r="X1462" s="298">
        <v>5.2499999999999998E-2</v>
      </c>
      <c r="Y1462" s="298">
        <v>5.2499999999999998E-2</v>
      </c>
      <c r="Z1462" s="298">
        <v>4.4999999999999998E-2</v>
      </c>
    </row>
    <row r="1463" spans="13:26" x14ac:dyDescent="0.35">
      <c r="M1463" s="250">
        <v>2962</v>
      </c>
      <c r="N1463" s="251" t="str">
        <f t="shared" si="235"/>
        <v/>
      </c>
      <c r="O1463" s="251" t="str">
        <f t="shared" si="236"/>
        <v/>
      </c>
      <c r="P1463" s="251" t="str">
        <f t="shared" si="237"/>
        <v/>
      </c>
      <c r="Q1463" s="251" t="str">
        <f t="shared" si="238"/>
        <v/>
      </c>
      <c r="R1463" s="251" t="str">
        <f t="shared" si="239"/>
        <v/>
      </c>
      <c r="S1463" s="252" t="str">
        <f t="shared" si="240"/>
        <v/>
      </c>
      <c r="T1463" s="253"/>
      <c r="U1463" s="298">
        <v>7.4999999999999997E-2</v>
      </c>
      <c r="V1463" s="298">
        <v>7.4999999999999997E-2</v>
      </c>
      <c r="W1463" s="298">
        <v>6.7500000000000004E-2</v>
      </c>
      <c r="X1463" s="298">
        <v>0.06</v>
      </c>
      <c r="Y1463" s="298">
        <v>0.06</v>
      </c>
      <c r="Z1463" s="298">
        <v>5.2499999999999998E-2</v>
      </c>
    </row>
    <row r="1464" spans="13:26" x14ac:dyDescent="0.35">
      <c r="M1464" s="250">
        <v>3176</v>
      </c>
      <c r="N1464" s="251" t="str">
        <f t="shared" si="235"/>
        <v/>
      </c>
      <c r="O1464" s="251" t="str">
        <f t="shared" si="236"/>
        <v/>
      </c>
      <c r="P1464" s="251" t="str">
        <f t="shared" si="237"/>
        <v/>
      </c>
      <c r="Q1464" s="251" t="str">
        <f t="shared" si="238"/>
        <v/>
      </c>
      <c r="R1464" s="251" t="str">
        <f t="shared" si="239"/>
        <v/>
      </c>
      <c r="S1464" s="252" t="str">
        <f t="shared" si="240"/>
        <v/>
      </c>
      <c r="T1464" s="253"/>
      <c r="U1464" s="298">
        <v>8.6300000000000002E-2</v>
      </c>
      <c r="V1464" s="298">
        <v>8.6300000000000002E-2</v>
      </c>
      <c r="W1464" s="298">
        <v>7.8799999999999995E-2</v>
      </c>
      <c r="X1464" s="298">
        <v>7.1300000000000002E-2</v>
      </c>
      <c r="Y1464" s="298">
        <v>7.1300000000000002E-2</v>
      </c>
      <c r="Z1464" s="298">
        <v>6.3799999999999996E-2</v>
      </c>
    </row>
    <row r="1465" spans="13:26" x14ac:dyDescent="0.35">
      <c r="M1465" s="250">
        <v>3345</v>
      </c>
      <c r="N1465" s="251" t="str">
        <f t="shared" si="235"/>
        <v/>
      </c>
      <c r="O1465" s="251" t="str">
        <f t="shared" si="236"/>
        <v/>
      </c>
      <c r="P1465" s="251" t="str">
        <f t="shared" si="237"/>
        <v/>
      </c>
      <c r="Q1465" s="251" t="str">
        <f t="shared" si="238"/>
        <v/>
      </c>
      <c r="R1465" s="251" t="str">
        <f t="shared" si="239"/>
        <v/>
      </c>
      <c r="S1465" s="252" t="str">
        <f t="shared" si="240"/>
        <v/>
      </c>
      <c r="T1465" s="253"/>
      <c r="U1465" s="298">
        <v>9.3799999999999994E-2</v>
      </c>
      <c r="V1465" s="298">
        <v>9.3799999999999994E-2</v>
      </c>
      <c r="W1465" s="298">
        <v>8.6300000000000002E-2</v>
      </c>
      <c r="X1465" s="298">
        <v>7.8799999999999995E-2</v>
      </c>
      <c r="Y1465" s="298">
        <v>7.8799999999999995E-2</v>
      </c>
      <c r="Z1465" s="298">
        <v>7.8799999999999995E-2</v>
      </c>
    </row>
    <row r="1466" spans="13:26" x14ac:dyDescent="0.35">
      <c r="M1466" s="250">
        <v>3502</v>
      </c>
      <c r="N1466" s="251" t="str">
        <f t="shared" si="235"/>
        <v/>
      </c>
      <c r="O1466" s="251" t="str">
        <f t="shared" si="236"/>
        <v/>
      </c>
      <c r="P1466" s="251" t="str">
        <f t="shared" si="237"/>
        <v/>
      </c>
      <c r="Q1466" s="251" t="str">
        <f t="shared" si="238"/>
        <v/>
      </c>
      <c r="R1466" s="251" t="str">
        <f t="shared" si="239"/>
        <v/>
      </c>
      <c r="S1466" s="252" t="str">
        <f t="shared" si="240"/>
        <v/>
      </c>
      <c r="T1466" s="253"/>
      <c r="U1466" s="298">
        <v>0.112</v>
      </c>
      <c r="V1466" s="298">
        <v>0.112</v>
      </c>
      <c r="W1466" s="298">
        <v>0.104</v>
      </c>
      <c r="X1466" s="298">
        <v>9.6000000000000002E-2</v>
      </c>
      <c r="Y1466" s="298">
        <v>9.6000000000000002E-2</v>
      </c>
      <c r="Z1466" s="298">
        <v>9.6000000000000002E-2</v>
      </c>
    </row>
    <row r="1467" spans="13:26" x14ac:dyDescent="0.35">
      <c r="M1467" s="250">
        <v>3605</v>
      </c>
      <c r="N1467" s="251" t="str">
        <f t="shared" si="235"/>
        <v/>
      </c>
      <c r="O1467" s="251" t="str">
        <f t="shared" si="236"/>
        <v/>
      </c>
      <c r="P1467" s="251" t="str">
        <f t="shared" si="237"/>
        <v/>
      </c>
      <c r="Q1467" s="251" t="str">
        <f t="shared" si="238"/>
        <v/>
      </c>
      <c r="R1467" s="251" t="str">
        <f t="shared" si="239"/>
        <v/>
      </c>
      <c r="S1467" s="252" t="str">
        <f t="shared" si="240"/>
        <v/>
      </c>
      <c r="T1467" s="253"/>
      <c r="U1467" s="298">
        <v>0.12</v>
      </c>
      <c r="V1467" s="298">
        <v>0.12</v>
      </c>
      <c r="W1467" s="298">
        <v>0.12</v>
      </c>
      <c r="X1467" s="298">
        <v>0.104</v>
      </c>
      <c r="Y1467" s="298">
        <v>0.104</v>
      </c>
      <c r="Z1467" s="298">
        <v>0.104</v>
      </c>
    </row>
    <row r="1468" spans="13:26" x14ac:dyDescent="0.35">
      <c r="M1468" s="250">
        <v>3814</v>
      </c>
      <c r="N1468" s="251" t="str">
        <f t="shared" si="235"/>
        <v/>
      </c>
      <c r="O1468" s="251" t="str">
        <f t="shared" si="236"/>
        <v/>
      </c>
      <c r="P1468" s="251" t="str">
        <f t="shared" si="237"/>
        <v/>
      </c>
      <c r="Q1468" s="251" t="str">
        <f t="shared" si="238"/>
        <v/>
      </c>
      <c r="R1468" s="251" t="str">
        <f t="shared" si="239"/>
        <v/>
      </c>
      <c r="S1468" s="252" t="str">
        <f t="shared" si="240"/>
        <v/>
      </c>
      <c r="T1468" s="253"/>
      <c r="U1468" s="298">
        <v>0.128</v>
      </c>
      <c r="V1468" s="298">
        <v>0.128</v>
      </c>
      <c r="W1468" s="298">
        <v>0.128</v>
      </c>
      <c r="X1468" s="298">
        <v>0.112</v>
      </c>
      <c r="Y1468" s="298">
        <v>0.112</v>
      </c>
      <c r="Z1468" s="298">
        <v>0.112</v>
      </c>
    </row>
    <row r="1469" spans="13:26" x14ac:dyDescent="0.35">
      <c r="M1469" s="250">
        <v>3921</v>
      </c>
      <c r="N1469" s="251" t="str">
        <f t="shared" si="235"/>
        <v/>
      </c>
      <c r="O1469" s="251" t="str">
        <f t="shared" si="236"/>
        <v/>
      </c>
      <c r="P1469" s="251" t="str">
        <f t="shared" si="237"/>
        <v/>
      </c>
      <c r="Q1469" s="251" t="str">
        <f t="shared" si="238"/>
        <v/>
      </c>
      <c r="R1469" s="251" t="str">
        <f t="shared" si="239"/>
        <v/>
      </c>
      <c r="S1469" s="252" t="str">
        <f t="shared" si="240"/>
        <v/>
      </c>
      <c r="T1469" s="253"/>
      <c r="U1469" s="298">
        <v>0.13600000000000001</v>
      </c>
      <c r="V1469" s="298">
        <v>0.13600000000000001</v>
      </c>
      <c r="W1469" s="298">
        <v>0.13600000000000001</v>
      </c>
      <c r="X1469" s="298">
        <v>0.12</v>
      </c>
      <c r="Y1469" s="298">
        <v>0.12</v>
      </c>
      <c r="Z1469" s="298">
        <v>0.12</v>
      </c>
    </row>
    <row r="1470" spans="13:26" x14ac:dyDescent="0.35">
      <c r="M1470" s="250">
        <v>4238</v>
      </c>
      <c r="N1470" s="251" t="str">
        <f t="shared" si="235"/>
        <v/>
      </c>
      <c r="O1470" s="251" t="str">
        <f t="shared" si="236"/>
        <v/>
      </c>
      <c r="P1470" s="251" t="str">
        <f t="shared" si="237"/>
        <v/>
      </c>
      <c r="Q1470" s="251" t="str">
        <f t="shared" si="238"/>
        <v/>
      </c>
      <c r="R1470" s="251" t="str">
        <f t="shared" si="239"/>
        <v/>
      </c>
      <c r="S1470" s="252" t="str">
        <f t="shared" si="240"/>
        <v/>
      </c>
      <c r="T1470" s="253"/>
      <c r="U1470" s="298">
        <v>0.14399999999999999</v>
      </c>
      <c r="V1470" s="298">
        <v>0.14399999999999999</v>
      </c>
      <c r="W1470" s="298">
        <v>0.14399999999999999</v>
      </c>
      <c r="X1470" s="298">
        <v>0.128</v>
      </c>
      <c r="Y1470" s="298">
        <v>0.128</v>
      </c>
      <c r="Z1470" s="298">
        <v>0.128</v>
      </c>
    </row>
    <row r="1471" spans="13:26" x14ac:dyDescent="0.35">
      <c r="M1471" s="250">
        <v>4442</v>
      </c>
      <c r="N1471" s="251" t="str">
        <f t="shared" si="235"/>
        <v/>
      </c>
      <c r="O1471" s="251" t="str">
        <f t="shared" si="236"/>
        <v/>
      </c>
      <c r="P1471" s="251" t="str">
        <f t="shared" si="237"/>
        <v/>
      </c>
      <c r="Q1471" s="251" t="str">
        <f t="shared" si="238"/>
        <v/>
      </c>
      <c r="R1471" s="251" t="str">
        <f t="shared" si="239"/>
        <v/>
      </c>
      <c r="S1471" s="252" t="str">
        <f t="shared" si="240"/>
        <v/>
      </c>
      <c r="T1471" s="253"/>
      <c r="U1471" s="298">
        <v>0.152</v>
      </c>
      <c r="V1471" s="298">
        <v>0.152</v>
      </c>
      <c r="W1471" s="298">
        <v>0.152</v>
      </c>
      <c r="X1471" s="298">
        <v>0.13600000000000001</v>
      </c>
      <c r="Y1471" s="298">
        <v>0.13600000000000001</v>
      </c>
      <c r="Z1471" s="298">
        <v>0.13600000000000001</v>
      </c>
    </row>
    <row r="1472" spans="13:26" x14ac:dyDescent="0.35">
      <c r="M1472" s="250">
        <v>4876</v>
      </c>
      <c r="N1472" s="251" t="str">
        <f t="shared" si="235"/>
        <v/>
      </c>
      <c r="O1472" s="251" t="str">
        <f t="shared" si="236"/>
        <v/>
      </c>
      <c r="P1472" s="251" t="str">
        <f t="shared" si="237"/>
        <v/>
      </c>
      <c r="Q1472" s="251" t="str">
        <f t="shared" si="238"/>
        <v/>
      </c>
      <c r="R1472" s="251" t="str">
        <f t="shared" si="239"/>
        <v/>
      </c>
      <c r="S1472" s="252" t="str">
        <f t="shared" si="240"/>
        <v/>
      </c>
      <c r="T1472" s="253"/>
      <c r="U1472" s="298">
        <v>0.16</v>
      </c>
      <c r="V1472" s="298">
        <v>0.16</v>
      </c>
      <c r="W1472" s="298">
        <v>0.16</v>
      </c>
      <c r="X1472" s="298">
        <v>0.14399999999999999</v>
      </c>
      <c r="Y1472" s="298">
        <v>0.14399999999999999</v>
      </c>
      <c r="Z1472" s="298">
        <v>0.14399999999999999</v>
      </c>
    </row>
    <row r="1473" spans="13:26" x14ac:dyDescent="0.35">
      <c r="M1473" s="250">
        <v>5300</v>
      </c>
      <c r="N1473" s="251" t="str">
        <f t="shared" si="235"/>
        <v/>
      </c>
      <c r="O1473" s="251" t="str">
        <f t="shared" si="236"/>
        <v/>
      </c>
      <c r="P1473" s="251" t="str">
        <f t="shared" si="237"/>
        <v/>
      </c>
      <c r="Q1473" s="251" t="str">
        <f t="shared" si="238"/>
        <v/>
      </c>
      <c r="R1473" s="251" t="str">
        <f t="shared" si="239"/>
        <v/>
      </c>
      <c r="S1473" s="252" t="str">
        <f t="shared" si="240"/>
        <v/>
      </c>
      <c r="T1473" s="253"/>
      <c r="U1473" s="298">
        <v>0.16800000000000001</v>
      </c>
      <c r="V1473" s="298">
        <v>0.16800000000000001</v>
      </c>
      <c r="W1473" s="298">
        <v>0.16800000000000001</v>
      </c>
      <c r="X1473" s="298">
        <v>0.152</v>
      </c>
      <c r="Y1473" s="298">
        <v>0.152</v>
      </c>
      <c r="Z1473" s="298">
        <v>0.152</v>
      </c>
    </row>
    <row r="1474" spans="13:26" x14ac:dyDescent="0.35">
      <c r="M1474" s="250">
        <v>5509</v>
      </c>
      <c r="N1474" s="251" t="str">
        <f t="shared" si="235"/>
        <v/>
      </c>
      <c r="O1474" s="251" t="str">
        <f t="shared" si="236"/>
        <v/>
      </c>
      <c r="P1474" s="251" t="str">
        <f t="shared" si="237"/>
        <v/>
      </c>
      <c r="Q1474" s="251" t="str">
        <f t="shared" si="238"/>
        <v/>
      </c>
      <c r="R1474" s="251" t="str">
        <f t="shared" si="239"/>
        <v/>
      </c>
      <c r="S1474" s="252" t="str">
        <f t="shared" si="240"/>
        <v/>
      </c>
      <c r="T1474" s="253"/>
      <c r="U1474" s="298">
        <v>0.17599999999999999</v>
      </c>
      <c r="V1474" s="298">
        <v>0.17599999999999999</v>
      </c>
      <c r="W1474" s="298">
        <v>0.17599999999999999</v>
      </c>
      <c r="X1474" s="298">
        <v>0.16800000000000001</v>
      </c>
      <c r="Y1474" s="298">
        <v>0.16</v>
      </c>
      <c r="Z1474" s="298">
        <v>0.16</v>
      </c>
    </row>
    <row r="1475" spans="13:26" x14ac:dyDescent="0.35">
      <c r="M1475" s="250">
        <v>5943</v>
      </c>
      <c r="N1475" s="251" t="str">
        <f t="shared" si="235"/>
        <v/>
      </c>
      <c r="O1475" s="251" t="str">
        <f t="shared" si="236"/>
        <v/>
      </c>
      <c r="P1475" s="251" t="str">
        <f t="shared" si="237"/>
        <v/>
      </c>
      <c r="Q1475" s="251" t="str">
        <f t="shared" si="238"/>
        <v/>
      </c>
      <c r="R1475" s="251" t="str">
        <f t="shared" si="239"/>
        <v/>
      </c>
      <c r="S1475" s="252" t="str">
        <f t="shared" si="240"/>
        <v/>
      </c>
      <c r="T1475" s="253"/>
      <c r="U1475" s="298">
        <v>0.184</v>
      </c>
      <c r="V1475" s="298">
        <v>0.184</v>
      </c>
      <c r="W1475" s="298">
        <v>0.184</v>
      </c>
      <c r="X1475" s="298">
        <v>0.17599999999999999</v>
      </c>
      <c r="Y1475" s="298">
        <v>0.16800000000000001</v>
      </c>
      <c r="Z1475" s="298">
        <v>0.16800000000000001</v>
      </c>
    </row>
    <row r="1476" spans="13:26" x14ac:dyDescent="0.35">
      <c r="M1476" s="250">
        <v>6255</v>
      </c>
      <c r="N1476" s="251" t="str">
        <f t="shared" si="235"/>
        <v/>
      </c>
      <c r="O1476" s="251" t="str">
        <f t="shared" si="236"/>
        <v/>
      </c>
      <c r="P1476" s="251" t="str">
        <f t="shared" si="237"/>
        <v/>
      </c>
      <c r="Q1476" s="251" t="str">
        <f t="shared" si="238"/>
        <v/>
      </c>
      <c r="R1476" s="251" t="str">
        <f t="shared" si="239"/>
        <v/>
      </c>
      <c r="S1476" s="252" t="str">
        <f t="shared" si="240"/>
        <v/>
      </c>
      <c r="T1476" s="253"/>
      <c r="U1476" s="298">
        <v>0.192</v>
      </c>
      <c r="V1476" s="298">
        <v>0.192</v>
      </c>
      <c r="W1476" s="298">
        <v>0.192</v>
      </c>
      <c r="X1476" s="298">
        <v>0.184</v>
      </c>
      <c r="Y1476" s="298">
        <v>0.17599999999999999</v>
      </c>
      <c r="Z1476" s="298">
        <v>0.17599999999999999</v>
      </c>
    </row>
    <row r="1477" spans="13:26" x14ac:dyDescent="0.35">
      <c r="M1477" s="250">
        <v>6837</v>
      </c>
      <c r="N1477" s="251" t="str">
        <f t="shared" si="235"/>
        <v/>
      </c>
      <c r="O1477" s="251" t="str">
        <f t="shared" si="236"/>
        <v/>
      </c>
      <c r="P1477" s="251" t="str">
        <f t="shared" si="237"/>
        <v/>
      </c>
      <c r="Q1477" s="251" t="str">
        <f t="shared" si="238"/>
        <v/>
      </c>
      <c r="R1477" s="251" t="str">
        <f t="shared" si="239"/>
        <v/>
      </c>
      <c r="S1477" s="252" t="str">
        <f t="shared" si="240"/>
        <v/>
      </c>
      <c r="T1477" s="253"/>
      <c r="U1477" s="298">
        <v>0.2</v>
      </c>
      <c r="V1477" s="298">
        <v>0.2</v>
      </c>
      <c r="W1477" s="298">
        <v>0.2</v>
      </c>
      <c r="X1477" s="298">
        <v>0.192</v>
      </c>
      <c r="Y1477" s="298">
        <v>0.184</v>
      </c>
      <c r="Z1477" s="298">
        <v>0.184</v>
      </c>
    </row>
    <row r="1478" spans="13:26" x14ac:dyDescent="0.35">
      <c r="M1478" s="250">
        <v>7362</v>
      </c>
      <c r="N1478" s="251" t="str">
        <f t="shared" si="235"/>
        <v/>
      </c>
      <c r="O1478" s="251" t="str">
        <f t="shared" si="236"/>
        <v/>
      </c>
      <c r="P1478" s="251" t="str">
        <f t="shared" si="237"/>
        <v/>
      </c>
      <c r="Q1478" s="251" t="str">
        <f t="shared" si="238"/>
        <v/>
      </c>
      <c r="R1478" s="251" t="str">
        <f t="shared" si="239"/>
        <v/>
      </c>
      <c r="S1478" s="252" t="str">
        <f t="shared" si="240"/>
        <v/>
      </c>
      <c r="T1478" s="253"/>
      <c r="U1478" s="298">
        <v>0.20799999999999999</v>
      </c>
      <c r="V1478" s="298">
        <v>0.20799999999999999</v>
      </c>
      <c r="W1478" s="298">
        <v>0.20799999999999999</v>
      </c>
      <c r="X1478" s="298">
        <v>0.2</v>
      </c>
      <c r="Y1478" s="298">
        <v>0.2</v>
      </c>
      <c r="Z1478" s="298">
        <v>0.192</v>
      </c>
    </row>
    <row r="1479" spans="13:26" x14ac:dyDescent="0.35">
      <c r="M1479" s="250">
        <v>8199</v>
      </c>
      <c r="N1479" s="251" t="str">
        <f t="shared" si="235"/>
        <v/>
      </c>
      <c r="O1479" s="251" t="str">
        <f t="shared" si="236"/>
        <v/>
      </c>
      <c r="P1479" s="251" t="str">
        <f t="shared" si="237"/>
        <v/>
      </c>
      <c r="Q1479" s="251" t="str">
        <f t="shared" si="238"/>
        <v/>
      </c>
      <c r="R1479" s="251" t="str">
        <f t="shared" si="239"/>
        <v/>
      </c>
      <c r="S1479" s="252" t="str">
        <f t="shared" si="240"/>
        <v/>
      </c>
      <c r="T1479" s="253"/>
      <c r="U1479" s="298">
        <v>0.216</v>
      </c>
      <c r="V1479" s="298">
        <v>0.216</v>
      </c>
      <c r="W1479" s="298">
        <v>0.216</v>
      </c>
      <c r="X1479" s="298">
        <v>0.20799999999999999</v>
      </c>
      <c r="Y1479" s="298">
        <v>0.20799999999999999</v>
      </c>
      <c r="Z1479" s="298">
        <v>0.2</v>
      </c>
    </row>
    <row r="1480" spans="13:26" x14ac:dyDescent="0.35">
      <c r="M1480" s="250">
        <v>9150</v>
      </c>
      <c r="N1480" s="251" t="str">
        <f t="shared" si="235"/>
        <v/>
      </c>
      <c r="O1480" s="251" t="str">
        <f t="shared" si="236"/>
        <v/>
      </c>
      <c r="P1480" s="251" t="str">
        <f t="shared" si="237"/>
        <v/>
      </c>
      <c r="Q1480" s="251" t="str">
        <f t="shared" si="238"/>
        <v/>
      </c>
      <c r="R1480" s="251" t="str">
        <f t="shared" si="239"/>
        <v/>
      </c>
      <c r="S1480" s="252" t="str">
        <f t="shared" si="240"/>
        <v/>
      </c>
      <c r="T1480" s="253"/>
      <c r="U1480" s="298">
        <v>0.224</v>
      </c>
      <c r="V1480" s="298">
        <v>0.224</v>
      </c>
      <c r="W1480" s="298">
        <v>0.224</v>
      </c>
      <c r="X1480" s="298">
        <v>0.216</v>
      </c>
      <c r="Y1480" s="298">
        <v>0.216</v>
      </c>
      <c r="Z1480" s="298">
        <v>0.20799999999999999</v>
      </c>
    </row>
    <row r="1481" spans="13:26" x14ac:dyDescent="0.35">
      <c r="M1481" s="250">
        <v>10201</v>
      </c>
      <c r="N1481" s="251" t="str">
        <f t="shared" si="235"/>
        <v/>
      </c>
      <c r="O1481" s="251" t="str">
        <f t="shared" si="236"/>
        <v/>
      </c>
      <c r="P1481" s="251" t="str">
        <f t="shared" si="237"/>
        <v/>
      </c>
      <c r="Q1481" s="251" t="str">
        <f t="shared" si="238"/>
        <v/>
      </c>
      <c r="R1481" s="251" t="str">
        <f t="shared" si="239"/>
        <v/>
      </c>
      <c r="S1481" s="252" t="str">
        <f t="shared" si="240"/>
        <v/>
      </c>
      <c r="T1481" s="253"/>
      <c r="U1481" s="298">
        <v>0.23599999999999999</v>
      </c>
      <c r="V1481" s="298">
        <v>0.23599999999999999</v>
      </c>
      <c r="W1481" s="298">
        <v>0.23599999999999999</v>
      </c>
      <c r="X1481" s="298">
        <v>0.22800000000000001</v>
      </c>
      <c r="Y1481" s="298">
        <v>0.22800000000000001</v>
      </c>
      <c r="Z1481" s="298">
        <v>0.22</v>
      </c>
    </row>
    <row r="1482" spans="13:26" x14ac:dyDescent="0.35">
      <c r="M1482" s="250">
        <v>11253</v>
      </c>
      <c r="N1482" s="251" t="str">
        <f t="shared" si="235"/>
        <v/>
      </c>
      <c r="O1482" s="251" t="str">
        <f t="shared" si="236"/>
        <v/>
      </c>
      <c r="P1482" s="251" t="str">
        <f t="shared" si="237"/>
        <v/>
      </c>
      <c r="Q1482" s="251" t="str">
        <f t="shared" si="238"/>
        <v/>
      </c>
      <c r="R1482" s="251" t="str">
        <f t="shared" si="239"/>
        <v/>
      </c>
      <c r="S1482" s="252" t="str">
        <f t="shared" si="240"/>
        <v/>
      </c>
      <c r="T1482" s="253"/>
      <c r="U1482" s="298">
        <v>0.24399999999999999</v>
      </c>
      <c r="V1482" s="298">
        <v>0.24399999999999999</v>
      </c>
      <c r="W1482" s="298">
        <v>0.24399999999999999</v>
      </c>
      <c r="X1482" s="298">
        <v>0.23599999999999999</v>
      </c>
      <c r="Y1482" s="298">
        <v>0.23599999999999999</v>
      </c>
      <c r="Z1482" s="298">
        <v>0.22800000000000001</v>
      </c>
    </row>
    <row r="1483" spans="13:26" x14ac:dyDescent="0.35">
      <c r="M1483" s="250">
        <v>12969</v>
      </c>
      <c r="N1483" s="251" t="str">
        <f t="shared" si="235"/>
        <v/>
      </c>
      <c r="O1483" s="251" t="str">
        <f t="shared" si="236"/>
        <v/>
      </c>
      <c r="P1483" s="251" t="str">
        <f t="shared" si="237"/>
        <v/>
      </c>
      <c r="Q1483" s="251" t="str">
        <f t="shared" si="238"/>
        <v/>
      </c>
      <c r="R1483" s="251" t="str">
        <f t="shared" si="239"/>
        <v/>
      </c>
      <c r="S1483" s="252" t="str">
        <f t="shared" si="240"/>
        <v/>
      </c>
      <c r="T1483" s="253"/>
      <c r="U1483" s="298">
        <v>0.25600000000000001</v>
      </c>
      <c r="V1483" s="298">
        <v>0.25600000000000001</v>
      </c>
      <c r="W1483" s="298">
        <v>0.25600000000000001</v>
      </c>
      <c r="X1483" s="298">
        <v>0.248</v>
      </c>
      <c r="Y1483" s="298">
        <v>0.248</v>
      </c>
      <c r="Z1483" s="298">
        <v>0.24</v>
      </c>
    </row>
    <row r="1484" spans="13:26" x14ac:dyDescent="0.35">
      <c r="M1484" s="250">
        <v>12969</v>
      </c>
      <c r="N1484" s="251" t="str">
        <f>IF($R$11&gt;=M1483+0.01,U1484,"")</f>
        <v/>
      </c>
      <c r="O1484" s="251" t="str">
        <f>IF($R$11&gt;=M1483,V1484,"")</f>
        <v/>
      </c>
      <c r="P1484" s="251" t="str">
        <f>IF($R$11&gt;=M1483,W1484,"")</f>
        <v/>
      </c>
      <c r="Q1484" s="251" t="str">
        <f>IF($R$11&gt;=M1483,X1484,"")</f>
        <v/>
      </c>
      <c r="R1484" s="252" t="str">
        <f>IF($R$11&gt;=M1483,Y1484,"")</f>
        <v/>
      </c>
      <c r="S1484" s="251" t="str">
        <f>IF($R$11&gt;=M1483,Z1484,"")</f>
        <v/>
      </c>
      <c r="T1484" s="253"/>
      <c r="U1484" s="298">
        <v>0.26400000000000001</v>
      </c>
      <c r="V1484" s="298">
        <v>0.26400000000000001</v>
      </c>
      <c r="W1484" s="298">
        <v>0.26400000000000001</v>
      </c>
      <c r="X1484" s="298">
        <v>0.25600000000000001</v>
      </c>
      <c r="Y1484" s="298">
        <v>0.25600000000000001</v>
      </c>
      <c r="Z1484" s="298">
        <v>0.248</v>
      </c>
    </row>
    <row r="1485" spans="13:26" x14ac:dyDescent="0.35">
      <c r="M1485" s="249"/>
      <c r="N1485" s="257" t="str">
        <f>IF($A$15=2,IF($A$2=11,IF($I$2=0,SUM(N1456:N1484),""),""),"")</f>
        <v/>
      </c>
      <c r="O1485" s="258" t="str">
        <f>IF($A$15=2,IF($A$2=11,IF($I$2=1,SUM(O1456:O1484),""),""),"")</f>
        <v/>
      </c>
      <c r="P1485" s="258" t="str">
        <f>IF($A$15=2,IF($A$2=11,IF($I$2=2,SUM(P1456:P1484),""),""),"")</f>
        <v/>
      </c>
      <c r="Q1485" s="258" t="str">
        <f>IF($A$15=2,IF($A$2=11,IF($I$2=3,SUM(Q1456:Q1484),""),""),"")</f>
        <v/>
      </c>
      <c r="R1485" s="258" t="str">
        <f>IF($A$15=2,IF($A$2=11,IF($I$2=4,SUM(R1456:R1484),""),""),"")</f>
        <v/>
      </c>
      <c r="S1485" s="259" t="str">
        <f>IF($A$15=2,IF($A$2=11,IF($I$2=5,SUM(S1456:S1484),""),""),"")</f>
        <v/>
      </c>
      <c r="T1485" s="260">
        <f>SUM(N1485:S1485)</f>
        <v>0</v>
      </c>
      <c r="U1485" s="253"/>
      <c r="V1485" s="253"/>
      <c r="W1485" s="253"/>
      <c r="X1485" s="253"/>
      <c r="Y1485" s="253"/>
      <c r="Z1485" s="253"/>
    </row>
    <row r="1486" spans="13:26" x14ac:dyDescent="0.35">
      <c r="M1486" s="249"/>
      <c r="N1486" s="249"/>
      <c r="O1486" s="249"/>
      <c r="P1486" s="261"/>
      <c r="Q1486" s="261"/>
      <c r="R1486" s="261"/>
      <c r="S1486" s="249"/>
      <c r="T1486" s="253"/>
      <c r="U1486" s="253"/>
      <c r="V1486" s="253"/>
      <c r="W1486" s="253"/>
      <c r="X1486" s="253"/>
      <c r="Y1486" s="253"/>
      <c r="Z1486" s="253"/>
    </row>
    <row r="1487" spans="13:26" x14ac:dyDescent="0.35">
      <c r="M1487" s="262"/>
      <c r="N1487" s="249"/>
      <c r="O1487" s="249"/>
      <c r="P1487" s="249"/>
      <c r="Q1487" s="249"/>
      <c r="R1487" s="249"/>
      <c r="S1487" s="249"/>
      <c r="T1487" s="253"/>
      <c r="U1487" s="253"/>
      <c r="V1487" s="253"/>
      <c r="W1487" s="253"/>
      <c r="X1487" s="253"/>
      <c r="Y1487" s="253"/>
      <c r="Z1487" s="253"/>
    </row>
    <row r="1488" spans="13:26" x14ac:dyDescent="0.35">
      <c r="M1488" s="249"/>
      <c r="N1488" s="249"/>
      <c r="O1488" s="249"/>
      <c r="P1488" s="249"/>
      <c r="Q1488" s="249"/>
      <c r="R1488" s="249"/>
      <c r="S1488" s="249"/>
      <c r="T1488" s="253"/>
      <c r="U1488" s="253"/>
      <c r="V1488" s="253"/>
      <c r="W1488" s="253"/>
      <c r="X1488" s="253"/>
      <c r="Y1488" s="253"/>
      <c r="Z1488" s="253"/>
    </row>
    <row r="1489" spans="13:26" x14ac:dyDescent="0.35">
      <c r="M1489" s="263" t="s">
        <v>147</v>
      </c>
      <c r="N1489" s="272"/>
      <c r="O1489" s="273" t="s">
        <v>181</v>
      </c>
      <c r="P1489" s="283"/>
      <c r="Q1489" s="273"/>
      <c r="R1489" s="273"/>
      <c r="S1489" s="273"/>
      <c r="T1489" s="253"/>
      <c r="U1489" s="275" t="str">
        <f>O1489</f>
        <v>Tabelas de IRS de retenção na fonte referente a 2018 nos Açores</v>
      </c>
      <c r="V1489" s="253"/>
      <c r="W1489" s="253"/>
      <c r="X1489" s="253"/>
      <c r="Y1489" s="253"/>
      <c r="Z1489" s="253"/>
    </row>
    <row r="1490" spans="13:26" x14ac:dyDescent="0.35">
      <c r="M1490" s="297"/>
      <c r="N1490" s="273"/>
      <c r="O1490" s="273" t="s">
        <v>209</v>
      </c>
      <c r="P1490" s="297"/>
      <c r="Q1490" s="273"/>
      <c r="R1490" s="273"/>
      <c r="S1490" s="297"/>
      <c r="T1490" s="253"/>
      <c r="U1490" s="275"/>
      <c r="V1490" s="253"/>
      <c r="W1490" s="253"/>
      <c r="X1490" s="253"/>
      <c r="Y1490" s="253"/>
      <c r="Z1490" s="253"/>
    </row>
    <row r="1491" spans="13:26" x14ac:dyDescent="0.35">
      <c r="M1491" s="273"/>
      <c r="N1491" s="273"/>
      <c r="O1491" s="273" t="s">
        <v>192</v>
      </c>
      <c r="P1491" s="297"/>
      <c r="Q1491" s="273"/>
      <c r="R1491" s="273"/>
      <c r="S1491" s="297"/>
      <c r="T1491" s="253"/>
      <c r="U1491" s="275" t="str">
        <f>O1491</f>
        <v>CASADO DOIS TITULARES - DEFICIENTE</v>
      </c>
      <c r="V1491" s="253"/>
      <c r="W1491" s="253"/>
      <c r="X1491" s="253"/>
      <c r="Y1491" s="253"/>
      <c r="Z1491" s="253"/>
    </row>
    <row r="1492" spans="13:26" x14ac:dyDescent="0.35">
      <c r="M1492" s="267" t="s">
        <v>154</v>
      </c>
      <c r="N1492" s="268" t="s">
        <v>155</v>
      </c>
      <c r="O1492" s="268" t="s">
        <v>156</v>
      </c>
      <c r="P1492" s="268" t="s">
        <v>157</v>
      </c>
      <c r="Q1492" s="268" t="s">
        <v>158</v>
      </c>
      <c r="R1492" s="268" t="s">
        <v>159</v>
      </c>
      <c r="S1492" s="268" t="s">
        <v>160</v>
      </c>
      <c r="T1492" s="253"/>
      <c r="U1492" s="269" t="str">
        <f t="shared" ref="U1492:Z1492" si="241">N1492</f>
        <v>0 dep</v>
      </c>
      <c r="V1492" s="269" t="str">
        <f t="shared" si="241"/>
        <v>1 dep</v>
      </c>
      <c r="W1492" s="269" t="str">
        <f t="shared" si="241"/>
        <v>2 dep</v>
      </c>
      <c r="X1492" s="269" t="str">
        <f t="shared" si="241"/>
        <v>3 dep</v>
      </c>
      <c r="Y1492" s="269" t="str">
        <f t="shared" si="241"/>
        <v>4 dep</v>
      </c>
      <c r="Z1492" s="269" t="str">
        <f t="shared" si="241"/>
        <v>5 dep. ou +</v>
      </c>
    </row>
    <row r="1493" spans="13:26" x14ac:dyDescent="0.35">
      <c r="M1493" s="250">
        <v>1306</v>
      </c>
      <c r="N1493" s="251" t="str">
        <f>IF($R$11&lt;=M1493,IF($R$11&gt;=0,0,""),"")</f>
        <v/>
      </c>
      <c r="O1493" s="251" t="str">
        <f>IF($R$11&lt;=M1493,IF($R$11&gt;=0,0,""),"")</f>
        <v/>
      </c>
      <c r="P1493" s="251" t="str">
        <f>IF($R$11&lt;=M1493,IF($R$11&gt;=0,0,""),"")</f>
        <v/>
      </c>
      <c r="Q1493" s="251" t="str">
        <f>IF($R$11&lt;=M1493,IF($R$11&gt;=0,0,""),"")</f>
        <v/>
      </c>
      <c r="R1493" s="251" t="str">
        <f>IF($R$11&lt;=M1493,IF($R$11&gt;=0,0,""),"")</f>
        <v/>
      </c>
      <c r="S1493" s="251" t="str">
        <f>IF($R$11&lt;=M1493,IF($R$11&gt;=0,0,""),"")</f>
        <v/>
      </c>
      <c r="T1493" s="253"/>
      <c r="U1493" s="298">
        <v>0</v>
      </c>
      <c r="V1493" s="298">
        <v>0</v>
      </c>
      <c r="W1493" s="298">
        <v>0</v>
      </c>
      <c r="X1493" s="298">
        <v>0</v>
      </c>
      <c r="Y1493" s="298">
        <v>0</v>
      </c>
      <c r="Z1493" s="298">
        <v>0</v>
      </c>
    </row>
    <row r="1494" spans="13:26" x14ac:dyDescent="0.35">
      <c r="M1494" s="250">
        <v>1409</v>
      </c>
      <c r="N1494" s="251" t="str">
        <f>IF($R$11&lt;=M1494,IF($R$11&gt;=M1493+0.01,U1494,""),"")</f>
        <v/>
      </c>
      <c r="O1494" s="251" t="str">
        <f>IF($R$11&lt;=M1494,IF($R$11&gt;=M1493+0.01,V1494,""),"")</f>
        <v/>
      </c>
      <c r="P1494" s="251" t="str">
        <f>IF($R$11&lt;=M1494,IF($R$11&gt;=M1493+0.01,W1494,""),"")</f>
        <v/>
      </c>
      <c r="Q1494" s="251" t="str">
        <f>IF($R$11&lt;=M1494,IF($R$11&gt;=M1493+0.01,X1494,""),"")</f>
        <v/>
      </c>
      <c r="R1494" s="251" t="str">
        <f>IF($R$11&lt;=M1494,IF($R$11&gt;=M1493+0.01,Y1494,""),"")</f>
        <v/>
      </c>
      <c r="S1494" s="252" t="str">
        <f>IF($R$11&lt;=M1494,IF($R$11&gt;=M1493+0.01,Z1494,""),"")</f>
        <v/>
      </c>
      <c r="T1494" s="253"/>
      <c r="U1494" s="298">
        <v>1.125E-2</v>
      </c>
      <c r="V1494" s="298">
        <v>3.8E-3</v>
      </c>
      <c r="W1494" s="298">
        <v>3.8E-3</v>
      </c>
      <c r="X1494" s="298">
        <v>0</v>
      </c>
      <c r="Y1494" s="298">
        <v>0</v>
      </c>
      <c r="Z1494" s="298">
        <v>0</v>
      </c>
    </row>
    <row r="1495" spans="13:26" x14ac:dyDescent="0.35">
      <c r="M1495" s="250">
        <v>1450</v>
      </c>
      <c r="N1495" s="251" t="str">
        <f>IF($R$11&lt;=M1495,IF($R$11&gt;=M1494+0.01,U1495,""),"")</f>
        <v/>
      </c>
      <c r="O1495" s="251" t="str">
        <f>IF($R$11&lt;=M1495,IF($R$11&gt;=M1494+0.01,V1495,""),"")</f>
        <v/>
      </c>
      <c r="P1495" s="251" t="str">
        <f>IF($R$11&lt;=M1495,IF($R$11&gt;=M1494+0.01,W1495,""),"")</f>
        <v/>
      </c>
      <c r="Q1495" s="251" t="str">
        <f>IF($R$11&lt;=M1495,IF($R$11&gt;=M1494+0.01,X1495,""),"")</f>
        <v/>
      </c>
      <c r="R1495" s="251" t="str">
        <f>IF($R$11&lt;=M1495,IF($R$11&gt;=M1494+0.01,Y1495,""),"")</f>
        <v/>
      </c>
      <c r="S1495" s="252" t="str">
        <f>IF($R$11&lt;=M1495,IF($R$11&gt;=M1494+0.01,Z1495,""),"")</f>
        <v/>
      </c>
      <c r="T1495" s="253"/>
      <c r="U1495" s="298">
        <v>0.03</v>
      </c>
      <c r="V1495" s="298">
        <v>0.03</v>
      </c>
      <c r="W1495" s="298">
        <v>1.4999999999999999E-2</v>
      </c>
      <c r="X1495" s="298">
        <v>1.1299999999999999E-2</v>
      </c>
      <c r="Y1495" s="298">
        <v>1.1299999999999999E-2</v>
      </c>
      <c r="Z1495" s="298">
        <v>1.1299999999999999E-2</v>
      </c>
    </row>
    <row r="1496" spans="13:26" x14ac:dyDescent="0.35">
      <c r="M1496" s="250">
        <v>1634</v>
      </c>
      <c r="N1496" s="251">
        <f>IF($R$11&lt;=M1496,IF($R$11&gt;=M1495+0.01,U1496,""),"")</f>
        <v>3.7499999999999999E-2</v>
      </c>
      <c r="O1496" s="251">
        <f>IF($R$11&lt;=M1496,IF($R$11&gt;=M1495+0.01,V1496,""),"")</f>
        <v>3.7499999999999999E-2</v>
      </c>
      <c r="P1496" s="251">
        <f>IF($R$11&lt;=M1496,IF($R$11&gt;=M1495+0.01,W1496,""),"")</f>
        <v>0.03</v>
      </c>
      <c r="Q1496" s="251">
        <f>IF($R$11&lt;=M1496,IF($R$11&gt;=M1495+0.01,X1496,""),"")</f>
        <v>2.2499999999999999E-2</v>
      </c>
      <c r="R1496" s="251">
        <f>IF($R$11&lt;=M1496,IF($R$11&gt;=M1495+0.01,Y1496,""),"")</f>
        <v>2.2499999999999999E-2</v>
      </c>
      <c r="S1496" s="252">
        <f>IF($R$11&lt;=M1496,IF($R$11&gt;=M1495+0.01,Z1496,""),"")</f>
        <v>1.1299999999999999E-2</v>
      </c>
      <c r="T1496" s="253"/>
      <c r="U1496" s="298">
        <v>3.7499999999999999E-2</v>
      </c>
      <c r="V1496" s="298">
        <v>3.7499999999999999E-2</v>
      </c>
      <c r="W1496" s="298">
        <v>0.03</v>
      </c>
      <c r="X1496" s="298">
        <v>2.2499999999999999E-2</v>
      </c>
      <c r="Y1496" s="298">
        <v>2.2499999999999999E-2</v>
      </c>
      <c r="Z1496" s="298">
        <v>1.1299999999999999E-2</v>
      </c>
    </row>
    <row r="1497" spans="13:26" x14ac:dyDescent="0.35">
      <c r="M1497" s="250">
        <v>1950</v>
      </c>
      <c r="N1497" s="251" t="str">
        <f>IF($R$11&lt;=M1497,IF($R$11&gt;=M1496+0.01,U1497,""),"")</f>
        <v/>
      </c>
      <c r="O1497" s="251" t="str">
        <f>IF($R$11&lt;=M1497,IF($R$11&gt;=M1496+0.01,V1497,""),"")</f>
        <v/>
      </c>
      <c r="P1497" s="251" t="str">
        <f>IF($R$11&lt;=M1497,IF($R$11&gt;=M1496+0.01,W1497,""),"")</f>
        <v/>
      </c>
      <c r="Q1497" s="251" t="str">
        <f>IF($R$11&lt;=M1497,IF($R$11&gt;=M1496+0.01,X1497,""),"")</f>
        <v/>
      </c>
      <c r="R1497" s="251" t="str">
        <f>IF($R$11&lt;=M1497,IF($R$11&gt;=M1496+0.01,Y1497,""),"")</f>
        <v/>
      </c>
      <c r="S1497" s="252" t="str">
        <f>IF($R$11&lt;=M1497,IF($R$11&gt;=M1496+0.01,Z1497,""),"")</f>
        <v/>
      </c>
      <c r="T1497" s="253"/>
      <c r="U1497" s="298">
        <v>5.6000000000000001E-2</v>
      </c>
      <c r="V1497" s="298">
        <v>5.6000000000000001E-2</v>
      </c>
      <c r="W1497" s="298">
        <v>4.8000000000000001E-2</v>
      </c>
      <c r="X1497" s="298">
        <v>0.04</v>
      </c>
      <c r="Y1497" s="298">
        <v>0.04</v>
      </c>
      <c r="Z1497" s="298">
        <v>3.2000000000000001E-2</v>
      </c>
    </row>
    <row r="1498" spans="13:26" x14ac:dyDescent="0.35">
      <c r="M1498" s="250">
        <v>2072</v>
      </c>
      <c r="N1498" s="251" t="str">
        <f t="shared" ref="N1498:N1521" si="242">IF($R$11&lt;=M1498,IF($R$11&gt;=M1497+0.01,U1498,""),"")</f>
        <v/>
      </c>
      <c r="O1498" s="251" t="str">
        <f t="shared" ref="O1498:O1521" si="243">IF($R$11&lt;=M1498,IF($R$11&gt;=M1497+0.01,V1498,""),"")</f>
        <v/>
      </c>
      <c r="P1498" s="251" t="str">
        <f t="shared" ref="P1498:P1521" si="244">IF($R$11&lt;=M1498,IF($R$11&gt;=M1497+0.01,W1498,""),"")</f>
        <v/>
      </c>
      <c r="Q1498" s="251" t="str">
        <f t="shared" ref="Q1498:Q1521" si="245">IF($R$11&lt;=M1498,IF($R$11&gt;=M1497+0.01,X1498,""),"")</f>
        <v/>
      </c>
      <c r="R1498" s="251" t="str">
        <f t="shared" ref="R1498:R1521" si="246">IF($R$11&lt;=M1498,IF($R$11&gt;=M1497+0.01,Y1498,""),"")</f>
        <v/>
      </c>
      <c r="S1498" s="252" t="str">
        <f t="shared" ref="S1498:S1521" si="247">IF($R$11&lt;=M1498,IF($R$11&gt;=M1497+0.01,Z1498,""),"")</f>
        <v/>
      </c>
      <c r="T1498" s="253"/>
      <c r="U1498" s="298">
        <v>6.8000000000000005E-2</v>
      </c>
      <c r="V1498" s="298">
        <v>6.8000000000000005E-2</v>
      </c>
      <c r="W1498" s="298">
        <v>0.06</v>
      </c>
      <c r="X1498" s="298">
        <v>5.1999999999999998E-2</v>
      </c>
      <c r="Y1498" s="298">
        <v>5.1999999999999998E-2</v>
      </c>
      <c r="Z1498" s="298">
        <v>5.1999999999999998E-2</v>
      </c>
    </row>
    <row r="1499" spans="13:26" x14ac:dyDescent="0.35">
      <c r="M1499" s="250">
        <v>2206</v>
      </c>
      <c r="N1499" s="251" t="str">
        <f t="shared" si="242"/>
        <v/>
      </c>
      <c r="O1499" s="251" t="str">
        <f t="shared" si="243"/>
        <v/>
      </c>
      <c r="P1499" s="251" t="str">
        <f t="shared" si="244"/>
        <v/>
      </c>
      <c r="Q1499" s="251" t="str">
        <f t="shared" si="245"/>
        <v/>
      </c>
      <c r="R1499" s="251" t="str">
        <f t="shared" si="246"/>
        <v/>
      </c>
      <c r="S1499" s="252" t="str">
        <f t="shared" si="247"/>
        <v/>
      </c>
      <c r="T1499" s="253"/>
      <c r="U1499" s="298">
        <v>8.4000000000000005E-2</v>
      </c>
      <c r="V1499" s="298">
        <v>7.5999999999999998E-2</v>
      </c>
      <c r="W1499" s="298">
        <v>7.5999999999999998E-2</v>
      </c>
      <c r="X1499" s="298">
        <v>6.8000000000000005E-2</v>
      </c>
      <c r="Y1499" s="298">
        <v>0.06</v>
      </c>
      <c r="Z1499" s="298">
        <v>0.06</v>
      </c>
    </row>
    <row r="1500" spans="13:26" x14ac:dyDescent="0.35">
      <c r="M1500" s="250">
        <v>2307</v>
      </c>
      <c r="N1500" s="251" t="str">
        <f t="shared" si="242"/>
        <v/>
      </c>
      <c r="O1500" s="251" t="str">
        <f t="shared" si="243"/>
        <v/>
      </c>
      <c r="P1500" s="251" t="str">
        <f t="shared" si="244"/>
        <v/>
      </c>
      <c r="Q1500" s="251" t="str">
        <f t="shared" si="245"/>
        <v/>
      </c>
      <c r="R1500" s="251" t="str">
        <f t="shared" si="246"/>
        <v/>
      </c>
      <c r="S1500" s="252" t="str">
        <f t="shared" si="247"/>
        <v/>
      </c>
      <c r="T1500" s="253"/>
      <c r="U1500" s="298">
        <v>0.104</v>
      </c>
      <c r="V1500" s="298">
        <v>9.6000000000000002E-2</v>
      </c>
      <c r="W1500" s="298">
        <v>8.7999999999999995E-2</v>
      </c>
      <c r="X1500" s="298">
        <v>0.08</v>
      </c>
      <c r="Y1500" s="298">
        <v>0.08</v>
      </c>
      <c r="Z1500" s="298">
        <v>0.08</v>
      </c>
    </row>
    <row r="1501" spans="13:26" x14ac:dyDescent="0.35">
      <c r="M1501" s="250">
        <v>2471</v>
      </c>
      <c r="N1501" s="251" t="str">
        <f t="shared" si="242"/>
        <v/>
      </c>
      <c r="O1501" s="251" t="str">
        <f t="shared" si="243"/>
        <v/>
      </c>
      <c r="P1501" s="251" t="str">
        <f t="shared" si="244"/>
        <v/>
      </c>
      <c r="Q1501" s="251" t="str">
        <f t="shared" si="245"/>
        <v/>
      </c>
      <c r="R1501" s="251" t="str">
        <f t="shared" si="246"/>
        <v/>
      </c>
      <c r="S1501" s="252" t="str">
        <f t="shared" si="247"/>
        <v/>
      </c>
      <c r="T1501" s="253"/>
      <c r="U1501" s="298">
        <v>0.12</v>
      </c>
      <c r="V1501" s="298">
        <v>0.112</v>
      </c>
      <c r="W1501" s="298">
        <v>0.104</v>
      </c>
      <c r="X1501" s="298">
        <v>9.6000000000000002E-2</v>
      </c>
      <c r="Y1501" s="298">
        <v>8.7999999999999995E-2</v>
      </c>
      <c r="Z1501" s="298">
        <v>8.7999999999999995E-2</v>
      </c>
    </row>
    <row r="1502" spans="13:26" x14ac:dyDescent="0.35">
      <c r="M1502" s="250">
        <v>2553</v>
      </c>
      <c r="N1502" s="251" t="str">
        <f t="shared" si="242"/>
        <v/>
      </c>
      <c r="O1502" s="251" t="str">
        <f t="shared" si="243"/>
        <v/>
      </c>
      <c r="P1502" s="251" t="str">
        <f t="shared" si="244"/>
        <v/>
      </c>
      <c r="Q1502" s="251" t="str">
        <f t="shared" si="245"/>
        <v/>
      </c>
      <c r="R1502" s="251" t="str">
        <f t="shared" si="246"/>
        <v/>
      </c>
      <c r="S1502" s="252" t="str">
        <f t="shared" si="247"/>
        <v/>
      </c>
      <c r="T1502" s="253"/>
      <c r="U1502" s="298">
        <v>0.128</v>
      </c>
      <c r="V1502" s="298">
        <v>0.12</v>
      </c>
      <c r="W1502" s="298">
        <v>0.12</v>
      </c>
      <c r="X1502" s="298">
        <v>0.112</v>
      </c>
      <c r="Y1502" s="298">
        <v>0.104</v>
      </c>
      <c r="Z1502" s="298">
        <v>0.104</v>
      </c>
    </row>
    <row r="1503" spans="13:26" x14ac:dyDescent="0.35">
      <c r="M1503" s="250">
        <v>2655</v>
      </c>
      <c r="N1503" s="251" t="str">
        <f t="shared" si="242"/>
        <v/>
      </c>
      <c r="O1503" s="251" t="str">
        <f t="shared" si="243"/>
        <v/>
      </c>
      <c r="P1503" s="251" t="str">
        <f t="shared" si="244"/>
        <v/>
      </c>
      <c r="Q1503" s="251" t="str">
        <f t="shared" si="245"/>
        <v/>
      </c>
      <c r="R1503" s="251" t="str">
        <f t="shared" si="246"/>
        <v/>
      </c>
      <c r="S1503" s="252" t="str">
        <f t="shared" si="247"/>
        <v/>
      </c>
      <c r="T1503" s="253"/>
      <c r="U1503" s="298">
        <v>0.13600000000000001</v>
      </c>
      <c r="V1503" s="298">
        <v>0.128</v>
      </c>
      <c r="W1503" s="298">
        <v>0.128</v>
      </c>
      <c r="X1503" s="298">
        <v>0.12</v>
      </c>
      <c r="Y1503" s="298">
        <v>0.112</v>
      </c>
      <c r="Z1503" s="298">
        <v>0.112</v>
      </c>
    </row>
    <row r="1504" spans="13:26" x14ac:dyDescent="0.35">
      <c r="M1504" s="250">
        <v>2920</v>
      </c>
      <c r="N1504" s="251" t="str">
        <f t="shared" si="242"/>
        <v/>
      </c>
      <c r="O1504" s="251" t="str">
        <f t="shared" si="243"/>
        <v/>
      </c>
      <c r="P1504" s="251" t="str">
        <f t="shared" si="244"/>
        <v/>
      </c>
      <c r="Q1504" s="251" t="str">
        <f t="shared" si="245"/>
        <v/>
      </c>
      <c r="R1504" s="251" t="str">
        <f t="shared" si="246"/>
        <v/>
      </c>
      <c r="S1504" s="252" t="str">
        <f t="shared" si="247"/>
        <v/>
      </c>
      <c r="T1504" s="253"/>
      <c r="U1504" s="298">
        <v>0.14399999999999999</v>
      </c>
      <c r="V1504" s="298">
        <v>0.13600000000000001</v>
      </c>
      <c r="W1504" s="298">
        <v>0.13600000000000001</v>
      </c>
      <c r="X1504" s="298">
        <v>0.128</v>
      </c>
      <c r="Y1504" s="298">
        <v>0.12</v>
      </c>
      <c r="Z1504" s="298">
        <v>0.12</v>
      </c>
    </row>
    <row r="1505" spans="13:26" x14ac:dyDescent="0.35">
      <c r="M1505" s="250">
        <v>3237</v>
      </c>
      <c r="N1505" s="251" t="str">
        <f t="shared" si="242"/>
        <v/>
      </c>
      <c r="O1505" s="251" t="str">
        <f t="shared" si="243"/>
        <v/>
      </c>
      <c r="P1505" s="251" t="str">
        <f t="shared" si="244"/>
        <v/>
      </c>
      <c r="Q1505" s="251" t="str">
        <f t="shared" si="245"/>
        <v/>
      </c>
      <c r="R1505" s="251" t="str">
        <f t="shared" si="246"/>
        <v/>
      </c>
      <c r="S1505" s="252" t="str">
        <f t="shared" si="247"/>
        <v/>
      </c>
      <c r="T1505" s="253"/>
      <c r="U1505" s="298">
        <v>0.152</v>
      </c>
      <c r="V1505" s="298">
        <v>0.14399999999999999</v>
      </c>
      <c r="W1505" s="298">
        <v>0.14399999999999999</v>
      </c>
      <c r="X1505" s="298">
        <v>0.13600000000000001</v>
      </c>
      <c r="Y1505" s="298">
        <v>0.128</v>
      </c>
      <c r="Z1505" s="298">
        <v>0.128</v>
      </c>
    </row>
    <row r="1506" spans="13:26" x14ac:dyDescent="0.35">
      <c r="M1506" s="250">
        <v>3574</v>
      </c>
      <c r="N1506" s="251" t="str">
        <f t="shared" si="242"/>
        <v/>
      </c>
      <c r="O1506" s="251" t="str">
        <f t="shared" si="243"/>
        <v/>
      </c>
      <c r="P1506" s="251" t="str">
        <f t="shared" si="244"/>
        <v/>
      </c>
      <c r="Q1506" s="251" t="str">
        <f t="shared" si="245"/>
        <v/>
      </c>
      <c r="R1506" s="251" t="str">
        <f t="shared" si="246"/>
        <v/>
      </c>
      <c r="S1506" s="252" t="str">
        <f t="shared" si="247"/>
        <v/>
      </c>
      <c r="T1506" s="253"/>
      <c r="U1506" s="298">
        <v>0.16</v>
      </c>
      <c r="V1506" s="298">
        <v>0.152</v>
      </c>
      <c r="W1506" s="298">
        <v>0.152</v>
      </c>
      <c r="X1506" s="298">
        <v>0.14399999999999999</v>
      </c>
      <c r="Y1506" s="298">
        <v>0.13600000000000001</v>
      </c>
      <c r="Z1506" s="298">
        <v>0.13600000000000001</v>
      </c>
    </row>
    <row r="1507" spans="13:26" x14ac:dyDescent="0.35">
      <c r="M1507" s="250">
        <v>3706</v>
      </c>
      <c r="N1507" s="251" t="str">
        <f t="shared" si="242"/>
        <v/>
      </c>
      <c r="O1507" s="251" t="str">
        <f t="shared" si="243"/>
        <v/>
      </c>
      <c r="P1507" s="251" t="str">
        <f t="shared" si="244"/>
        <v/>
      </c>
      <c r="Q1507" s="251" t="str">
        <f t="shared" si="245"/>
        <v/>
      </c>
      <c r="R1507" s="251" t="str">
        <f t="shared" si="246"/>
        <v/>
      </c>
      <c r="S1507" s="252" t="str">
        <f t="shared" si="247"/>
        <v/>
      </c>
      <c r="T1507" s="253"/>
      <c r="U1507" s="298">
        <v>0.16800000000000001</v>
      </c>
      <c r="V1507" s="298">
        <v>0.16</v>
      </c>
      <c r="W1507" s="298">
        <v>0.16</v>
      </c>
      <c r="X1507" s="298">
        <v>0.152</v>
      </c>
      <c r="Y1507" s="298">
        <v>0.152</v>
      </c>
      <c r="Z1507" s="298">
        <v>0.14399999999999999</v>
      </c>
    </row>
    <row r="1508" spans="13:26" x14ac:dyDescent="0.35">
      <c r="M1508" s="250">
        <v>3921</v>
      </c>
      <c r="N1508" s="251" t="str">
        <f t="shared" si="242"/>
        <v/>
      </c>
      <c r="O1508" s="251" t="str">
        <f t="shared" si="243"/>
        <v/>
      </c>
      <c r="P1508" s="251" t="str">
        <f t="shared" si="244"/>
        <v/>
      </c>
      <c r="Q1508" s="251" t="str">
        <f t="shared" si="245"/>
        <v/>
      </c>
      <c r="R1508" s="251" t="str">
        <f t="shared" si="246"/>
        <v/>
      </c>
      <c r="S1508" s="252" t="str">
        <f t="shared" si="247"/>
        <v/>
      </c>
      <c r="T1508" s="253"/>
      <c r="U1508" s="298">
        <v>0.17599999999999999</v>
      </c>
      <c r="V1508" s="298">
        <v>0.16800000000000001</v>
      </c>
      <c r="W1508" s="298">
        <v>0.16800000000000001</v>
      </c>
      <c r="X1508" s="298">
        <v>0.16</v>
      </c>
      <c r="Y1508" s="298">
        <v>0.16</v>
      </c>
      <c r="Z1508" s="298">
        <v>0.152</v>
      </c>
    </row>
    <row r="1509" spans="13:26" x14ac:dyDescent="0.35">
      <c r="M1509" s="250">
        <v>4339</v>
      </c>
      <c r="N1509" s="251" t="str">
        <f t="shared" si="242"/>
        <v/>
      </c>
      <c r="O1509" s="251" t="str">
        <f t="shared" si="243"/>
        <v/>
      </c>
      <c r="P1509" s="251" t="str">
        <f t="shared" si="244"/>
        <v/>
      </c>
      <c r="Q1509" s="251" t="str">
        <f t="shared" si="245"/>
        <v/>
      </c>
      <c r="R1509" s="251" t="str">
        <f t="shared" si="246"/>
        <v/>
      </c>
      <c r="S1509" s="252" t="str">
        <f t="shared" si="247"/>
        <v/>
      </c>
      <c r="T1509" s="253"/>
      <c r="U1509" s="298">
        <v>0.188</v>
      </c>
      <c r="V1509" s="298">
        <v>0.18</v>
      </c>
      <c r="W1509" s="298">
        <v>0.18</v>
      </c>
      <c r="X1509" s="298">
        <v>0.17199999999999999</v>
      </c>
      <c r="Y1509" s="298">
        <v>0.17199999999999999</v>
      </c>
      <c r="Z1509" s="298">
        <v>0.16400000000000001</v>
      </c>
    </row>
    <row r="1510" spans="13:26" x14ac:dyDescent="0.35">
      <c r="M1510" s="250">
        <v>4606</v>
      </c>
      <c r="N1510" s="251" t="str">
        <f t="shared" si="242"/>
        <v/>
      </c>
      <c r="O1510" s="251" t="str">
        <f t="shared" si="243"/>
        <v/>
      </c>
      <c r="P1510" s="251" t="str">
        <f t="shared" si="244"/>
        <v/>
      </c>
      <c r="Q1510" s="251" t="str">
        <f t="shared" si="245"/>
        <v/>
      </c>
      <c r="R1510" s="251" t="str">
        <f t="shared" si="246"/>
        <v/>
      </c>
      <c r="S1510" s="252" t="str">
        <f t="shared" si="247"/>
        <v/>
      </c>
      <c r="T1510" s="253"/>
      <c r="U1510" s="298">
        <v>0.19600000000000001</v>
      </c>
      <c r="V1510" s="298">
        <v>0.188</v>
      </c>
      <c r="W1510" s="298">
        <v>0.188</v>
      </c>
      <c r="X1510" s="298">
        <v>0.18</v>
      </c>
      <c r="Y1510" s="298">
        <v>0.18</v>
      </c>
      <c r="Z1510" s="298">
        <v>0.18</v>
      </c>
    </row>
    <row r="1511" spans="13:26" x14ac:dyDescent="0.35">
      <c r="M1511" s="250">
        <v>4901</v>
      </c>
      <c r="N1511" s="251" t="str">
        <f t="shared" si="242"/>
        <v/>
      </c>
      <c r="O1511" s="251" t="str">
        <f t="shared" si="243"/>
        <v/>
      </c>
      <c r="P1511" s="251" t="str">
        <f t="shared" si="244"/>
        <v/>
      </c>
      <c r="Q1511" s="251" t="str">
        <f t="shared" si="245"/>
        <v/>
      </c>
      <c r="R1511" s="251" t="str">
        <f t="shared" si="246"/>
        <v/>
      </c>
      <c r="S1511" s="252" t="str">
        <f t="shared" si="247"/>
        <v/>
      </c>
      <c r="T1511" s="253"/>
      <c r="U1511" s="298">
        <v>0.20399999999999999</v>
      </c>
      <c r="V1511" s="298">
        <v>0.19600000000000001</v>
      </c>
      <c r="W1511" s="298">
        <v>0.19600000000000001</v>
      </c>
      <c r="X1511" s="298">
        <v>0.188</v>
      </c>
      <c r="Y1511" s="298">
        <v>0.188</v>
      </c>
      <c r="Z1511" s="298">
        <v>0.188</v>
      </c>
    </row>
    <row r="1512" spans="13:26" x14ac:dyDescent="0.35">
      <c r="M1512" s="250">
        <v>5188</v>
      </c>
      <c r="N1512" s="251" t="str">
        <f t="shared" si="242"/>
        <v/>
      </c>
      <c r="O1512" s="251" t="str">
        <f t="shared" si="243"/>
        <v/>
      </c>
      <c r="P1512" s="251" t="str">
        <f t="shared" si="244"/>
        <v/>
      </c>
      <c r="Q1512" s="251" t="str">
        <f t="shared" si="245"/>
        <v/>
      </c>
      <c r="R1512" s="251" t="str">
        <f t="shared" si="246"/>
        <v/>
      </c>
      <c r="S1512" s="252" t="str">
        <f t="shared" si="247"/>
        <v/>
      </c>
      <c r="T1512" s="253"/>
      <c r="U1512" s="298">
        <v>0.21199999999999999</v>
      </c>
      <c r="V1512" s="298">
        <v>0.20399999999999999</v>
      </c>
      <c r="W1512" s="298">
        <v>0.20399999999999999</v>
      </c>
      <c r="X1512" s="298">
        <v>0.19600000000000001</v>
      </c>
      <c r="Y1512" s="298">
        <v>0.19600000000000001</v>
      </c>
      <c r="Z1512" s="298">
        <v>0.19600000000000001</v>
      </c>
    </row>
    <row r="1513" spans="13:26" x14ac:dyDescent="0.35">
      <c r="M1513" s="250">
        <v>5617</v>
      </c>
      <c r="N1513" s="251" t="str">
        <f t="shared" si="242"/>
        <v/>
      </c>
      <c r="O1513" s="251" t="str">
        <f t="shared" si="243"/>
        <v/>
      </c>
      <c r="P1513" s="251" t="str">
        <f t="shared" si="244"/>
        <v/>
      </c>
      <c r="Q1513" s="251" t="str">
        <f t="shared" si="245"/>
        <v/>
      </c>
      <c r="R1513" s="251" t="str">
        <f t="shared" si="246"/>
        <v/>
      </c>
      <c r="S1513" s="252" t="str">
        <f t="shared" si="247"/>
        <v/>
      </c>
      <c r="T1513" s="253"/>
      <c r="U1513" s="298">
        <v>0.22</v>
      </c>
      <c r="V1513" s="298">
        <v>0.21199999999999999</v>
      </c>
      <c r="W1513" s="298">
        <v>0.21199999999999999</v>
      </c>
      <c r="X1513" s="298">
        <v>0.20399999999999999</v>
      </c>
      <c r="Y1513" s="298">
        <v>0.20399999999999999</v>
      </c>
      <c r="Z1513" s="298">
        <v>0.20399999999999999</v>
      </c>
    </row>
    <row r="1514" spans="13:26" x14ac:dyDescent="0.35">
      <c r="M1514" s="250">
        <v>6045</v>
      </c>
      <c r="N1514" s="251" t="str">
        <f t="shared" si="242"/>
        <v/>
      </c>
      <c r="O1514" s="251" t="str">
        <f t="shared" si="243"/>
        <v/>
      </c>
      <c r="P1514" s="251" t="str">
        <f t="shared" si="244"/>
        <v/>
      </c>
      <c r="Q1514" s="251" t="str">
        <f t="shared" si="245"/>
        <v/>
      </c>
      <c r="R1514" s="251" t="str">
        <f t="shared" si="246"/>
        <v/>
      </c>
      <c r="S1514" s="252" t="str">
        <f t="shared" si="247"/>
        <v/>
      </c>
      <c r="T1514" s="253"/>
      <c r="U1514" s="298">
        <v>0.23200000000000001</v>
      </c>
      <c r="V1514" s="298">
        <v>0.224</v>
      </c>
      <c r="W1514" s="298">
        <v>0.224</v>
      </c>
      <c r="X1514" s="298">
        <v>0.216</v>
      </c>
      <c r="Y1514" s="298">
        <v>0.216</v>
      </c>
      <c r="Z1514" s="298">
        <v>0.216</v>
      </c>
    </row>
    <row r="1515" spans="13:26" x14ac:dyDescent="0.35">
      <c r="M1515" s="250">
        <v>6747</v>
      </c>
      <c r="N1515" s="251" t="str">
        <f t="shared" si="242"/>
        <v/>
      </c>
      <c r="O1515" s="251" t="str">
        <f t="shared" si="243"/>
        <v/>
      </c>
      <c r="P1515" s="251" t="str">
        <f t="shared" si="244"/>
        <v/>
      </c>
      <c r="Q1515" s="251" t="str">
        <f t="shared" si="245"/>
        <v/>
      </c>
      <c r="R1515" s="251" t="str">
        <f t="shared" si="246"/>
        <v/>
      </c>
      <c r="S1515" s="252" t="str">
        <f t="shared" si="247"/>
        <v/>
      </c>
      <c r="T1515" s="253"/>
      <c r="U1515" s="298">
        <v>0.24399999999999999</v>
      </c>
      <c r="V1515" s="298">
        <v>0.23599999999999999</v>
      </c>
      <c r="W1515" s="298">
        <v>0.23599999999999999</v>
      </c>
      <c r="X1515" s="298">
        <v>0.22800000000000001</v>
      </c>
      <c r="Y1515" s="298">
        <v>0.22800000000000001</v>
      </c>
      <c r="Z1515" s="298">
        <v>0.22800000000000001</v>
      </c>
    </row>
    <row r="1516" spans="13:26" x14ac:dyDescent="0.35">
      <c r="M1516" s="250">
        <v>7214</v>
      </c>
      <c r="N1516" s="251" t="str">
        <f t="shared" si="242"/>
        <v/>
      </c>
      <c r="O1516" s="251" t="str">
        <f t="shared" si="243"/>
        <v/>
      </c>
      <c r="P1516" s="251" t="str">
        <f t="shared" si="244"/>
        <v/>
      </c>
      <c r="Q1516" s="251" t="str">
        <f t="shared" si="245"/>
        <v/>
      </c>
      <c r="R1516" s="251" t="str">
        <f t="shared" si="246"/>
        <v/>
      </c>
      <c r="S1516" s="252" t="str">
        <f t="shared" si="247"/>
        <v/>
      </c>
      <c r="T1516" s="253"/>
      <c r="U1516" s="298">
        <v>0.252</v>
      </c>
      <c r="V1516" s="298">
        <v>0.24399999999999999</v>
      </c>
      <c r="W1516" s="298">
        <v>0.24399999999999999</v>
      </c>
      <c r="X1516" s="298">
        <v>0.23599999999999999</v>
      </c>
      <c r="Y1516" s="298">
        <v>0.23599999999999999</v>
      </c>
      <c r="Z1516" s="298">
        <v>0.23599999999999999</v>
      </c>
    </row>
    <row r="1517" spans="13:26" x14ac:dyDescent="0.35">
      <c r="M1517" s="250">
        <v>7793</v>
      </c>
      <c r="N1517" s="251" t="str">
        <f t="shared" si="242"/>
        <v/>
      </c>
      <c r="O1517" s="251" t="str">
        <f t="shared" si="243"/>
        <v/>
      </c>
      <c r="P1517" s="251" t="str">
        <f t="shared" si="244"/>
        <v/>
      </c>
      <c r="Q1517" s="251" t="str">
        <f t="shared" si="245"/>
        <v/>
      </c>
      <c r="R1517" s="251" t="str">
        <f t="shared" si="246"/>
        <v/>
      </c>
      <c r="S1517" s="252" t="str">
        <f t="shared" si="247"/>
        <v/>
      </c>
      <c r="T1517" s="253"/>
      <c r="U1517" s="298">
        <v>0.26</v>
      </c>
      <c r="V1517" s="298">
        <v>0.252</v>
      </c>
      <c r="W1517" s="298">
        <v>0.252</v>
      </c>
      <c r="X1517" s="298">
        <v>0.24399999999999999</v>
      </c>
      <c r="Y1517" s="298">
        <v>0.24399999999999999</v>
      </c>
      <c r="Z1517" s="298">
        <v>0.24399999999999999</v>
      </c>
    </row>
    <row r="1518" spans="13:26" x14ac:dyDescent="0.35">
      <c r="M1518" s="250">
        <v>8474</v>
      </c>
      <c r="N1518" s="251" t="str">
        <f t="shared" si="242"/>
        <v/>
      </c>
      <c r="O1518" s="251" t="str">
        <f t="shared" si="243"/>
        <v/>
      </c>
      <c r="P1518" s="251" t="str">
        <f t="shared" si="244"/>
        <v/>
      </c>
      <c r="Q1518" s="251" t="str">
        <f t="shared" si="245"/>
        <v/>
      </c>
      <c r="R1518" s="251" t="str">
        <f t="shared" si="246"/>
        <v/>
      </c>
      <c r="S1518" s="252" t="str">
        <f t="shared" si="247"/>
        <v/>
      </c>
      <c r="T1518" s="253"/>
      <c r="U1518" s="298">
        <v>0.26800000000000002</v>
      </c>
      <c r="V1518" s="298">
        <v>0.26</v>
      </c>
      <c r="W1518" s="298">
        <v>0.26</v>
      </c>
      <c r="X1518" s="298">
        <v>0.252</v>
      </c>
      <c r="Y1518" s="298">
        <v>0.252</v>
      </c>
      <c r="Z1518" s="298">
        <v>0.252</v>
      </c>
    </row>
    <row r="1519" spans="13:26" x14ac:dyDescent="0.35">
      <c r="M1519" s="250">
        <v>9256</v>
      </c>
      <c r="N1519" s="251" t="str">
        <f t="shared" si="242"/>
        <v/>
      </c>
      <c r="O1519" s="251" t="str">
        <f t="shared" si="243"/>
        <v/>
      </c>
      <c r="P1519" s="251" t="str">
        <f t="shared" si="244"/>
        <v/>
      </c>
      <c r="Q1519" s="251" t="str">
        <f t="shared" si="245"/>
        <v/>
      </c>
      <c r="R1519" s="251" t="str">
        <f t="shared" si="246"/>
        <v/>
      </c>
      <c r="S1519" s="252" t="str">
        <f t="shared" si="247"/>
        <v/>
      </c>
      <c r="T1519" s="253"/>
      <c r="U1519" s="298">
        <v>0.27600000000000002</v>
      </c>
      <c r="V1519" s="298">
        <v>0.26800000000000002</v>
      </c>
      <c r="W1519" s="298">
        <v>0.26800000000000002</v>
      </c>
      <c r="X1519" s="298">
        <v>0.26</v>
      </c>
      <c r="Y1519" s="298">
        <v>0.26</v>
      </c>
      <c r="Z1519" s="298">
        <v>0.26</v>
      </c>
    </row>
    <row r="1520" spans="13:26" x14ac:dyDescent="0.35">
      <c r="M1520" s="250">
        <v>9988</v>
      </c>
      <c r="N1520" s="251" t="str">
        <f t="shared" si="242"/>
        <v/>
      </c>
      <c r="O1520" s="251" t="str">
        <f t="shared" si="243"/>
        <v/>
      </c>
      <c r="P1520" s="251" t="str">
        <f t="shared" si="244"/>
        <v/>
      </c>
      <c r="Q1520" s="251" t="str">
        <f t="shared" si="245"/>
        <v/>
      </c>
      <c r="R1520" s="251" t="str">
        <f t="shared" si="246"/>
        <v/>
      </c>
      <c r="S1520" s="252" t="str">
        <f t="shared" si="247"/>
        <v/>
      </c>
      <c r="T1520" s="253"/>
      <c r="U1520" s="298">
        <v>0.28799999999999998</v>
      </c>
      <c r="V1520" s="298">
        <v>0.28000000000000003</v>
      </c>
      <c r="W1520" s="298">
        <v>0.28000000000000003</v>
      </c>
      <c r="X1520" s="298">
        <v>0.27200000000000002</v>
      </c>
      <c r="Y1520" s="298">
        <v>0.27200000000000002</v>
      </c>
      <c r="Z1520" s="298">
        <v>0.27200000000000002</v>
      </c>
    </row>
    <row r="1521" spans="13:26" x14ac:dyDescent="0.35">
      <c r="M1521" s="250">
        <v>12497</v>
      </c>
      <c r="N1521" s="251" t="str">
        <f t="shared" si="242"/>
        <v/>
      </c>
      <c r="O1521" s="251" t="str">
        <f t="shared" si="243"/>
        <v/>
      </c>
      <c r="P1521" s="251" t="str">
        <f t="shared" si="244"/>
        <v/>
      </c>
      <c r="Q1521" s="251" t="str">
        <f t="shared" si="245"/>
        <v/>
      </c>
      <c r="R1521" s="251" t="str">
        <f t="shared" si="246"/>
        <v/>
      </c>
      <c r="S1521" s="252" t="str">
        <f t="shared" si="247"/>
        <v/>
      </c>
      <c r="T1521" s="253"/>
      <c r="U1521" s="298">
        <v>0.29599999999999999</v>
      </c>
      <c r="V1521" s="298">
        <v>0.28799999999999998</v>
      </c>
      <c r="W1521" s="298">
        <v>0.28799999999999998</v>
      </c>
      <c r="X1521" s="298">
        <v>0.28000000000000003</v>
      </c>
      <c r="Y1521" s="298">
        <v>0.28000000000000003</v>
      </c>
      <c r="Z1521" s="298">
        <v>0.28000000000000003</v>
      </c>
    </row>
    <row r="1522" spans="13:26" x14ac:dyDescent="0.35">
      <c r="M1522" s="250">
        <v>12497</v>
      </c>
      <c r="N1522" s="251" t="str">
        <f>IF($R$11&gt;=M1521+0.01,U1522,"")</f>
        <v/>
      </c>
      <c r="O1522" s="251" t="str">
        <f>IF($R$11&gt;=M1521,V1522,"")</f>
        <v/>
      </c>
      <c r="P1522" s="251" t="str">
        <f>IF($R$11&gt;=M1521,W1522,"")</f>
        <v/>
      </c>
      <c r="Q1522" s="251" t="str">
        <f>IF($R$11&gt;=M1521,X1522,"")</f>
        <v/>
      </c>
      <c r="R1522" s="252" t="str">
        <f>IF($R$11&gt;=M1521,Y1522,"")</f>
        <v/>
      </c>
      <c r="S1522" s="251" t="str">
        <f>IF($R$11&gt;=M1521,Z1522,"")</f>
        <v/>
      </c>
      <c r="T1522" s="253"/>
      <c r="U1522" s="298">
        <v>0.30399999999999999</v>
      </c>
      <c r="V1522" s="298">
        <v>0.29599999999999999</v>
      </c>
      <c r="W1522" s="298">
        <v>0.29599999999999999</v>
      </c>
      <c r="X1522" s="298">
        <v>0.28799999999999998</v>
      </c>
      <c r="Y1522" s="298">
        <v>0.28799999999999998</v>
      </c>
      <c r="Z1522" s="298">
        <v>0.28799999999999998</v>
      </c>
    </row>
    <row r="1523" spans="13:26" x14ac:dyDescent="0.35">
      <c r="M1523" s="249"/>
      <c r="N1523" s="257" t="str">
        <f>IF($A$15=2,IF($A$2=12,IF($I$2=0,SUM(N1493:N1522),""),""),"")</f>
        <v/>
      </c>
      <c r="O1523" s="258" t="str">
        <f>IF($A$15=2,IF($A$2=12,IF($I$2=1,SUM(O1493:O1522),""),""),"")</f>
        <v/>
      </c>
      <c r="P1523" s="258" t="str">
        <f>IF($A$15=2,IF($A$2=12,IF($I$2=2,SUM(P1493:P1522),""),""),"")</f>
        <v/>
      </c>
      <c r="Q1523" s="258" t="str">
        <f>IF($A$15=2,IF($A$2=12,IF($I$2=3,SUM(Q1493:Q1522),""),""),"")</f>
        <v/>
      </c>
      <c r="R1523" s="258" t="str">
        <f>IF($A$15=2,IF($A$2=12,IF($I$2=4,SUM(R1493:R1522),""),""),"")</f>
        <v/>
      </c>
      <c r="S1523" s="259" t="str">
        <f>IF($A$15=2,IF($A$2=12,IF($I$2=5,SUM(S1493:S1522),""),""),"")</f>
        <v/>
      </c>
      <c r="T1523" s="260">
        <f>SUM(N1523:S1523)</f>
        <v>0</v>
      </c>
      <c r="U1523" s="253"/>
      <c r="V1523" s="253"/>
      <c r="W1523" s="253"/>
      <c r="X1523" s="253"/>
      <c r="Y1523" s="253"/>
      <c r="Z1523" s="253"/>
    </row>
    <row r="1524" spans="13:26" x14ac:dyDescent="0.35">
      <c r="N1524" s="249"/>
      <c r="O1524" s="249"/>
      <c r="P1524" s="261"/>
      <c r="Q1524" s="249"/>
      <c r="R1524" s="261"/>
      <c r="S1524" s="249"/>
      <c r="T1524" s="249"/>
      <c r="U1524" s="253"/>
      <c r="V1524" s="253"/>
      <c r="W1524" s="253"/>
      <c r="X1524" s="253"/>
      <c r="Y1524" s="253"/>
      <c r="Z1524" s="253"/>
    </row>
    <row r="1525" spans="13:26" x14ac:dyDescent="0.35">
      <c r="M1525" s="249"/>
      <c r="N1525" s="249"/>
      <c r="O1525" s="249"/>
      <c r="P1525" s="249"/>
      <c r="Q1525" s="249"/>
      <c r="R1525" s="249"/>
      <c r="S1525" s="249"/>
      <c r="T1525" s="249"/>
      <c r="U1525" s="253"/>
      <c r="V1525" s="253"/>
      <c r="W1525" s="253"/>
      <c r="X1525" s="253"/>
      <c r="Y1525" s="253"/>
      <c r="Z1525" s="253"/>
    </row>
  </sheetData>
  <sheetProtection autoFilter="0" pivotTables="0"/>
  <autoFilter ref="T1:T1524" xr:uid="{00000000-0009-0000-0000-000000000000}"/>
  <mergeCells count="15">
    <mergeCell ref="B18:D18"/>
    <mergeCell ref="B33:I33"/>
    <mergeCell ref="B35:E35"/>
    <mergeCell ref="BD6:BE6"/>
    <mergeCell ref="BB7:BC7"/>
    <mergeCell ref="BD7:BE7"/>
    <mergeCell ref="BB10:BE11"/>
    <mergeCell ref="BF10:BF11"/>
    <mergeCell ref="B17:D17"/>
    <mergeCell ref="B1:I1"/>
    <mergeCell ref="B3:D3"/>
    <mergeCell ref="B4:D4"/>
    <mergeCell ref="B5:D5"/>
    <mergeCell ref="B6:D6"/>
    <mergeCell ref="BB6:BC6"/>
  </mergeCells>
  <printOptions horizontalCentered="1" verticalCentered="1" gridLinesSet="0"/>
  <pageMargins left="0.19685039370078741" right="0.19685039370078741" top="0.19685039370078741" bottom="0.19685039370078741" header="0" footer="0"/>
  <pageSetup scale="3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31750</xdr:colOff>
                    <xdr:row>7</xdr:row>
                    <xdr:rowOff>177800</xdr:rowOff>
                  </from>
                  <to>
                    <xdr:col>1</xdr:col>
                    <xdr:colOff>336550</xdr:colOff>
                    <xdr:row>8</xdr:row>
                    <xdr:rowOff>152400</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1</xdr:col>
                    <xdr:colOff>69850</xdr:colOff>
                    <xdr:row>8</xdr:row>
                    <xdr:rowOff>222250</xdr:rowOff>
                  </from>
                  <to>
                    <xdr:col>1</xdr:col>
                    <xdr:colOff>603250</xdr:colOff>
                    <xdr:row>9</xdr:row>
                    <xdr:rowOff>184150</xdr:rowOff>
                  </to>
                </anchor>
              </controlPr>
            </control>
          </mc:Choice>
        </mc:AlternateContent>
        <mc:AlternateContent xmlns:mc="http://schemas.openxmlformats.org/markup-compatibility/2006">
          <mc:Choice Requires="x14">
            <control shapeId="15363" r:id="rId6" name="Drop Down 3">
              <controlPr defaultSize="0" autoLine="0" autoPict="0">
                <anchor moveWithCells="1">
                  <from>
                    <xdr:col>1</xdr:col>
                    <xdr:colOff>63500</xdr:colOff>
                    <xdr:row>6</xdr:row>
                    <xdr:rowOff>165100</xdr:rowOff>
                  </from>
                  <to>
                    <xdr:col>2</xdr:col>
                    <xdr:colOff>406400</xdr:colOff>
                    <xdr:row>7</xdr:row>
                    <xdr:rowOff>127000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31750</xdr:colOff>
                    <xdr:row>13</xdr:row>
                    <xdr:rowOff>114300</xdr:rowOff>
                  </from>
                  <to>
                    <xdr:col>1</xdr:col>
                    <xdr:colOff>336550</xdr:colOff>
                    <xdr:row>14</xdr:row>
                    <xdr:rowOff>101600</xdr:rowOff>
                  </to>
                </anchor>
              </controlPr>
            </control>
          </mc:Choice>
        </mc:AlternateContent>
        <mc:AlternateContent xmlns:mc="http://schemas.openxmlformats.org/markup-compatibility/2006">
          <mc:Choice Requires="x14">
            <control shapeId="15365" r:id="rId8" name="Drop Down 5">
              <controlPr defaultSize="0" autoLine="0" autoPict="0">
                <anchor moveWithCells="1">
                  <from>
                    <xdr:col>1</xdr:col>
                    <xdr:colOff>69850</xdr:colOff>
                    <xdr:row>10</xdr:row>
                    <xdr:rowOff>31750</xdr:rowOff>
                  </from>
                  <to>
                    <xdr:col>3</xdr:col>
                    <xdr:colOff>946150</xdr:colOff>
                    <xdr:row>11</xdr:row>
                    <xdr:rowOff>0</xdr:rowOff>
                  </to>
                </anchor>
              </controlPr>
            </control>
          </mc:Choice>
        </mc:AlternateContent>
        <mc:AlternateContent xmlns:mc="http://schemas.openxmlformats.org/markup-compatibility/2006">
          <mc:Choice Requires="x14">
            <control shapeId="15366" r:id="rId9" name="Drop Down 6">
              <controlPr defaultSize="0" autoLine="0" autoPict="0">
                <anchor moveWithCells="1">
                  <from>
                    <xdr:col>1</xdr:col>
                    <xdr:colOff>63500</xdr:colOff>
                    <xdr:row>1</xdr:row>
                    <xdr:rowOff>50800</xdr:rowOff>
                  </from>
                  <to>
                    <xdr:col>3</xdr:col>
                    <xdr:colOff>939800</xdr:colOff>
                    <xdr:row>2</xdr:row>
                    <xdr:rowOff>25400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4</xdr:col>
                    <xdr:colOff>190500</xdr:colOff>
                    <xdr:row>13</xdr:row>
                    <xdr:rowOff>0</xdr:rowOff>
                  </from>
                  <to>
                    <xdr:col>6</xdr:col>
                    <xdr:colOff>50800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249977111117893"/>
  </sheetPr>
  <dimension ref="A1:AF168"/>
  <sheetViews>
    <sheetView workbookViewId="0">
      <selection activeCell="C9" sqref="C9"/>
    </sheetView>
  </sheetViews>
  <sheetFormatPr defaultRowHeight="14.5" x14ac:dyDescent="0.35"/>
  <cols>
    <col min="1" max="1" width="72.1796875" customWidth="1"/>
    <col min="2" max="2" width="7.453125" style="12" customWidth="1"/>
    <col min="3" max="3" width="29.81640625" style="1" customWidth="1"/>
  </cols>
  <sheetData>
    <row r="1" spans="1:32" s="12" customFormat="1" x14ac:dyDescent="0.35">
      <c r="C1" s="13"/>
    </row>
    <row r="2" spans="1:32" ht="19" customHeight="1" x14ac:dyDescent="0.35">
      <c r="A2" s="8" t="s">
        <v>210</v>
      </c>
      <c r="C2" s="13"/>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s="12" customFormat="1" x14ac:dyDescent="0.35">
      <c r="C3" s="13"/>
    </row>
    <row r="4" spans="1:32" ht="26" x14ac:dyDescent="0.35">
      <c r="A4" s="39" t="s">
        <v>0</v>
      </c>
      <c r="C4" s="62">
        <v>0</v>
      </c>
      <c r="D4" s="12"/>
      <c r="E4" s="12"/>
      <c r="F4" s="12"/>
      <c r="G4" s="12"/>
      <c r="H4" s="12"/>
      <c r="I4" s="12"/>
      <c r="J4" s="12"/>
      <c r="K4" s="12"/>
      <c r="L4" s="12"/>
      <c r="M4" s="12"/>
      <c r="N4" s="12"/>
      <c r="O4" s="12"/>
      <c r="P4" s="12"/>
      <c r="Q4" s="12"/>
      <c r="R4" s="12"/>
      <c r="S4" s="12"/>
      <c r="T4" s="12"/>
      <c r="U4" s="12"/>
      <c r="V4" s="12"/>
      <c r="W4" s="12"/>
      <c r="X4" s="12"/>
      <c r="Y4" s="12"/>
      <c r="Z4" s="12"/>
      <c r="AA4" s="12"/>
      <c r="AB4" s="12"/>
    </row>
    <row r="5" spans="1:32" s="12" customFormat="1" x14ac:dyDescent="0.35">
      <c r="C5" s="13"/>
    </row>
    <row r="6" spans="1:32" ht="26" x14ac:dyDescent="0.35">
      <c r="A6" s="39" t="s">
        <v>1</v>
      </c>
      <c r="C6" s="62">
        <v>0</v>
      </c>
      <c r="D6" s="12"/>
      <c r="E6" s="12"/>
      <c r="F6" s="12"/>
      <c r="G6" s="12"/>
      <c r="H6" s="12"/>
      <c r="I6" s="12"/>
      <c r="J6" s="12"/>
      <c r="K6" s="12"/>
      <c r="L6" s="12"/>
      <c r="M6" s="12"/>
      <c r="N6" s="12"/>
      <c r="O6" s="12"/>
      <c r="P6" s="12"/>
      <c r="Q6" s="12"/>
      <c r="R6" s="12"/>
      <c r="S6" s="12"/>
      <c r="T6" s="12"/>
      <c r="U6" s="12"/>
      <c r="V6" s="12"/>
      <c r="W6" s="12"/>
      <c r="X6" s="12"/>
      <c r="Y6" s="12"/>
      <c r="Z6" s="12"/>
      <c r="AA6" s="12"/>
      <c r="AB6" s="12"/>
    </row>
    <row r="7" spans="1:32" s="12" customFormat="1" x14ac:dyDescent="0.35">
      <c r="C7" s="13"/>
    </row>
    <row r="8" spans="1:32" ht="26" x14ac:dyDescent="0.35">
      <c r="A8" s="40" t="s">
        <v>2</v>
      </c>
      <c r="C8" s="62">
        <v>0</v>
      </c>
      <c r="D8" s="12"/>
      <c r="E8" s="12"/>
      <c r="F8" s="12"/>
      <c r="G8" s="12"/>
      <c r="H8" s="12"/>
      <c r="I8" s="12"/>
      <c r="J8" s="12"/>
      <c r="K8" s="12"/>
      <c r="L8" s="12"/>
      <c r="M8" s="12"/>
      <c r="N8" s="12"/>
      <c r="O8" s="12"/>
      <c r="P8" s="12"/>
      <c r="Q8" s="12"/>
      <c r="R8" s="12"/>
      <c r="S8" s="12"/>
      <c r="T8" s="12"/>
      <c r="U8" s="12"/>
      <c r="V8" s="12"/>
      <c r="W8" s="12"/>
      <c r="X8" s="12"/>
      <c r="Y8" s="12"/>
      <c r="Z8" s="12"/>
      <c r="AA8" s="12"/>
      <c r="AB8" s="12"/>
    </row>
    <row r="9" spans="1:32" s="12" customFormat="1" x14ac:dyDescent="0.35">
      <c r="C9" s="13"/>
    </row>
    <row r="10" spans="1:32" ht="26" x14ac:dyDescent="0.35">
      <c r="A10" s="39" t="s">
        <v>3</v>
      </c>
      <c r="C10" s="62">
        <v>0</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row>
    <row r="11" spans="1:32" s="12" customFormat="1" x14ac:dyDescent="0.35">
      <c r="C11" s="13"/>
    </row>
    <row r="12" spans="1:32" ht="26" x14ac:dyDescent="0.35">
      <c r="A12" s="39" t="s">
        <v>4</v>
      </c>
      <c r="C12" s="62">
        <v>0</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row>
    <row r="13" spans="1:32" s="12" customFormat="1" x14ac:dyDescent="0.35">
      <c r="C13" s="13"/>
    </row>
    <row r="14" spans="1:32" ht="38.5" x14ac:dyDescent="0.35">
      <c r="A14" s="2" t="s">
        <v>5</v>
      </c>
      <c r="C14" s="33">
        <f>(C4-C6-C8-C10-C12)/14</f>
        <v>0</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32" s="12" customFormat="1" x14ac:dyDescent="0.35">
      <c r="C15" s="13"/>
    </row>
    <row r="16" spans="1:32" s="12" customFormat="1" x14ac:dyDescent="0.35">
      <c r="C16" s="13"/>
    </row>
    <row r="17" spans="3:3" s="12" customFormat="1" x14ac:dyDescent="0.35">
      <c r="C17" s="13"/>
    </row>
    <row r="18" spans="3:3" s="12" customFormat="1" x14ac:dyDescent="0.35">
      <c r="C18" s="13"/>
    </row>
    <row r="19" spans="3:3" s="12" customFormat="1" x14ac:dyDescent="0.35">
      <c r="C19" s="13"/>
    </row>
    <row r="20" spans="3:3" s="12" customFormat="1" x14ac:dyDescent="0.35">
      <c r="C20" s="13"/>
    </row>
    <row r="21" spans="3:3" s="12" customFormat="1" x14ac:dyDescent="0.35">
      <c r="C21" s="13"/>
    </row>
    <row r="22" spans="3:3" s="12" customFormat="1" x14ac:dyDescent="0.35">
      <c r="C22" s="13"/>
    </row>
    <row r="23" spans="3:3" s="12" customFormat="1" x14ac:dyDescent="0.35">
      <c r="C23" s="13"/>
    </row>
    <row r="24" spans="3:3" s="12" customFormat="1" x14ac:dyDescent="0.35">
      <c r="C24" s="13"/>
    </row>
    <row r="25" spans="3:3" s="12" customFormat="1" x14ac:dyDescent="0.35">
      <c r="C25" s="13"/>
    </row>
    <row r="26" spans="3:3" s="12" customFormat="1" x14ac:dyDescent="0.35">
      <c r="C26" s="13"/>
    </row>
    <row r="27" spans="3:3" s="12" customFormat="1" x14ac:dyDescent="0.35">
      <c r="C27" s="13"/>
    </row>
    <row r="28" spans="3:3" s="12" customFormat="1" x14ac:dyDescent="0.35">
      <c r="C28" s="13"/>
    </row>
    <row r="29" spans="3:3" s="12" customFormat="1" x14ac:dyDescent="0.35">
      <c r="C29" s="13"/>
    </row>
    <row r="30" spans="3:3" s="12" customFormat="1" x14ac:dyDescent="0.35">
      <c r="C30" s="13"/>
    </row>
    <row r="31" spans="3:3" s="12" customFormat="1" x14ac:dyDescent="0.35">
      <c r="C31" s="13"/>
    </row>
    <row r="32" spans="3:3" s="12" customFormat="1" x14ac:dyDescent="0.35">
      <c r="C32" s="13"/>
    </row>
    <row r="33" spans="3:3" s="12" customFormat="1" x14ac:dyDescent="0.35">
      <c r="C33" s="13"/>
    </row>
    <row r="34" spans="3:3" s="12" customFormat="1" x14ac:dyDescent="0.35">
      <c r="C34" s="13"/>
    </row>
    <row r="35" spans="3:3" s="12" customFormat="1" x14ac:dyDescent="0.35">
      <c r="C35" s="13"/>
    </row>
    <row r="36" spans="3:3" s="12" customFormat="1" x14ac:dyDescent="0.35">
      <c r="C36" s="13"/>
    </row>
    <row r="37" spans="3:3" s="12" customFormat="1" x14ac:dyDescent="0.35">
      <c r="C37" s="13"/>
    </row>
    <row r="38" spans="3:3" s="12" customFormat="1" x14ac:dyDescent="0.35">
      <c r="C38" s="13"/>
    </row>
    <row r="39" spans="3:3" s="12" customFormat="1" x14ac:dyDescent="0.35">
      <c r="C39" s="13"/>
    </row>
    <row r="40" spans="3:3" s="12" customFormat="1" x14ac:dyDescent="0.35">
      <c r="C40" s="13"/>
    </row>
    <row r="41" spans="3:3" s="12" customFormat="1" x14ac:dyDescent="0.35">
      <c r="C41" s="13"/>
    </row>
    <row r="42" spans="3:3" s="12" customFormat="1" x14ac:dyDescent="0.35">
      <c r="C42" s="13"/>
    </row>
    <row r="43" spans="3:3" s="12" customFormat="1" x14ac:dyDescent="0.35">
      <c r="C43" s="13"/>
    </row>
    <row r="44" spans="3:3" s="12" customFormat="1" x14ac:dyDescent="0.35">
      <c r="C44" s="13"/>
    </row>
    <row r="45" spans="3:3" s="12" customFormat="1" x14ac:dyDescent="0.35">
      <c r="C45" s="13"/>
    </row>
    <row r="46" spans="3:3" s="12" customFormat="1" x14ac:dyDescent="0.35">
      <c r="C46" s="13"/>
    </row>
    <row r="47" spans="3:3" s="12" customFormat="1" x14ac:dyDescent="0.35">
      <c r="C47" s="13"/>
    </row>
    <row r="48" spans="3:3" s="12" customFormat="1" x14ac:dyDescent="0.35">
      <c r="C48" s="13"/>
    </row>
    <row r="49" spans="3:3" s="12" customFormat="1" x14ac:dyDescent="0.35">
      <c r="C49" s="13"/>
    </row>
    <row r="50" spans="3:3" s="12" customFormat="1" x14ac:dyDescent="0.35">
      <c r="C50" s="13"/>
    </row>
    <row r="51" spans="3:3" s="12" customFormat="1" x14ac:dyDescent="0.35">
      <c r="C51" s="13"/>
    </row>
    <row r="52" spans="3:3" s="12" customFormat="1" x14ac:dyDescent="0.35">
      <c r="C52" s="13"/>
    </row>
    <row r="53" spans="3:3" s="12" customFormat="1" x14ac:dyDescent="0.35">
      <c r="C53" s="13"/>
    </row>
    <row r="54" spans="3:3" s="12" customFormat="1" x14ac:dyDescent="0.35">
      <c r="C54" s="13"/>
    </row>
    <row r="55" spans="3:3" s="12" customFormat="1" x14ac:dyDescent="0.35">
      <c r="C55" s="13"/>
    </row>
    <row r="56" spans="3:3" s="12" customFormat="1" x14ac:dyDescent="0.35">
      <c r="C56" s="13"/>
    </row>
    <row r="57" spans="3:3" s="12" customFormat="1" x14ac:dyDescent="0.35">
      <c r="C57" s="13"/>
    </row>
    <row r="58" spans="3:3" s="12" customFormat="1" x14ac:dyDescent="0.35">
      <c r="C58" s="13"/>
    </row>
    <row r="59" spans="3:3" s="12" customFormat="1" x14ac:dyDescent="0.35">
      <c r="C59" s="13"/>
    </row>
    <row r="60" spans="3:3" s="12" customFormat="1" x14ac:dyDescent="0.35">
      <c r="C60" s="13"/>
    </row>
    <row r="61" spans="3:3" s="12" customFormat="1" x14ac:dyDescent="0.35">
      <c r="C61" s="13"/>
    </row>
    <row r="62" spans="3:3" s="12" customFormat="1" x14ac:dyDescent="0.35">
      <c r="C62" s="13"/>
    </row>
    <row r="63" spans="3:3" s="12" customFormat="1" x14ac:dyDescent="0.35">
      <c r="C63" s="13"/>
    </row>
    <row r="64" spans="3:3" s="12" customFormat="1" x14ac:dyDescent="0.35">
      <c r="C64" s="13"/>
    </row>
    <row r="65" spans="3:3" s="12" customFormat="1" x14ac:dyDescent="0.35">
      <c r="C65" s="13"/>
    </row>
    <row r="66" spans="3:3" s="12" customFormat="1" x14ac:dyDescent="0.35">
      <c r="C66" s="13"/>
    </row>
    <row r="67" spans="3:3" s="12" customFormat="1" x14ac:dyDescent="0.35">
      <c r="C67" s="13"/>
    </row>
    <row r="68" spans="3:3" s="12" customFormat="1" x14ac:dyDescent="0.35">
      <c r="C68" s="13"/>
    </row>
    <row r="69" spans="3:3" s="12" customFormat="1" x14ac:dyDescent="0.35">
      <c r="C69" s="13"/>
    </row>
    <row r="70" spans="3:3" s="12" customFormat="1" x14ac:dyDescent="0.35">
      <c r="C70" s="13"/>
    </row>
    <row r="71" spans="3:3" s="12" customFormat="1" x14ac:dyDescent="0.35">
      <c r="C71" s="13"/>
    </row>
    <row r="72" spans="3:3" s="12" customFormat="1" x14ac:dyDescent="0.35">
      <c r="C72" s="13"/>
    </row>
    <row r="73" spans="3:3" s="12" customFormat="1" x14ac:dyDescent="0.35">
      <c r="C73" s="13"/>
    </row>
    <row r="74" spans="3:3" s="12" customFormat="1" x14ac:dyDescent="0.35">
      <c r="C74" s="13"/>
    </row>
    <row r="75" spans="3:3" s="12" customFormat="1" x14ac:dyDescent="0.35">
      <c r="C75" s="13"/>
    </row>
    <row r="76" spans="3:3" s="12" customFormat="1" x14ac:dyDescent="0.35">
      <c r="C76" s="13"/>
    </row>
    <row r="77" spans="3:3" s="12" customFormat="1" x14ac:dyDescent="0.35">
      <c r="C77" s="13"/>
    </row>
    <row r="78" spans="3:3" s="12" customFormat="1" x14ac:dyDescent="0.35">
      <c r="C78" s="13"/>
    </row>
    <row r="79" spans="3:3" s="12" customFormat="1" x14ac:dyDescent="0.35">
      <c r="C79" s="13"/>
    </row>
    <row r="80" spans="3:3" s="12" customFormat="1" x14ac:dyDescent="0.35">
      <c r="C80" s="13"/>
    </row>
    <row r="81" spans="3:3" s="12" customFormat="1" x14ac:dyDescent="0.35">
      <c r="C81" s="13"/>
    </row>
    <row r="82" spans="3:3" s="12" customFormat="1" x14ac:dyDescent="0.35">
      <c r="C82" s="13"/>
    </row>
    <row r="83" spans="3:3" s="12" customFormat="1" x14ac:dyDescent="0.35">
      <c r="C83" s="13"/>
    </row>
    <row r="84" spans="3:3" s="12" customFormat="1" x14ac:dyDescent="0.35">
      <c r="C84" s="13"/>
    </row>
    <row r="85" spans="3:3" s="12" customFormat="1" x14ac:dyDescent="0.35">
      <c r="C85" s="13"/>
    </row>
    <row r="86" spans="3:3" s="12" customFormat="1" x14ac:dyDescent="0.35">
      <c r="C86" s="13"/>
    </row>
    <row r="87" spans="3:3" s="12" customFormat="1" x14ac:dyDescent="0.35">
      <c r="C87" s="13"/>
    </row>
    <row r="88" spans="3:3" s="12" customFormat="1" x14ac:dyDescent="0.35">
      <c r="C88" s="13"/>
    </row>
    <row r="89" spans="3:3" s="12" customFormat="1" x14ac:dyDescent="0.35">
      <c r="C89" s="13"/>
    </row>
    <row r="90" spans="3:3" s="12" customFormat="1" x14ac:dyDescent="0.35">
      <c r="C90" s="13"/>
    </row>
    <row r="91" spans="3:3" s="12" customFormat="1" x14ac:dyDescent="0.35">
      <c r="C91" s="13"/>
    </row>
    <row r="92" spans="3:3" s="12" customFormat="1" x14ac:dyDescent="0.35">
      <c r="C92" s="13"/>
    </row>
    <row r="93" spans="3:3" s="12" customFormat="1" x14ac:dyDescent="0.35">
      <c r="C93" s="13"/>
    </row>
    <row r="94" spans="3:3" s="12" customFormat="1" x14ac:dyDescent="0.35">
      <c r="C94" s="13"/>
    </row>
    <row r="95" spans="3:3" s="12" customFormat="1" x14ac:dyDescent="0.35">
      <c r="C95" s="13"/>
    </row>
    <row r="96" spans="3:3" s="12" customFormat="1" x14ac:dyDescent="0.35">
      <c r="C96" s="13"/>
    </row>
    <row r="97" spans="3:3" s="12" customFormat="1" x14ac:dyDescent="0.35">
      <c r="C97" s="13"/>
    </row>
    <row r="98" spans="3:3" s="12" customFormat="1" x14ac:dyDescent="0.35">
      <c r="C98" s="13"/>
    </row>
    <row r="99" spans="3:3" s="12" customFormat="1" x14ac:dyDescent="0.35">
      <c r="C99" s="13"/>
    </row>
    <row r="100" spans="3:3" s="12" customFormat="1" x14ac:dyDescent="0.35">
      <c r="C100" s="13"/>
    </row>
    <row r="101" spans="3:3" s="12" customFormat="1" x14ac:dyDescent="0.35">
      <c r="C101" s="13"/>
    </row>
    <row r="102" spans="3:3" s="12" customFormat="1" x14ac:dyDescent="0.35">
      <c r="C102" s="13"/>
    </row>
    <row r="103" spans="3:3" s="12" customFormat="1" x14ac:dyDescent="0.35">
      <c r="C103" s="13"/>
    </row>
    <row r="104" spans="3:3" s="12" customFormat="1" x14ac:dyDescent="0.35">
      <c r="C104" s="13"/>
    </row>
    <row r="105" spans="3:3" s="12" customFormat="1" x14ac:dyDescent="0.35">
      <c r="C105" s="13"/>
    </row>
    <row r="106" spans="3:3" s="12" customFormat="1" x14ac:dyDescent="0.35">
      <c r="C106" s="13"/>
    </row>
    <row r="107" spans="3:3" s="12" customFormat="1" x14ac:dyDescent="0.35">
      <c r="C107" s="13"/>
    </row>
    <row r="108" spans="3:3" s="12" customFormat="1" x14ac:dyDescent="0.35">
      <c r="C108" s="13"/>
    </row>
    <row r="109" spans="3:3" s="12" customFormat="1" x14ac:dyDescent="0.35">
      <c r="C109" s="13"/>
    </row>
    <row r="110" spans="3:3" s="12" customFormat="1" x14ac:dyDescent="0.35">
      <c r="C110" s="13"/>
    </row>
    <row r="111" spans="3:3" s="12" customFormat="1" x14ac:dyDescent="0.35">
      <c r="C111" s="13"/>
    </row>
    <row r="112" spans="3:3" s="12" customFormat="1" x14ac:dyDescent="0.35">
      <c r="C112" s="13"/>
    </row>
    <row r="113" spans="3:3" s="12" customFormat="1" x14ac:dyDescent="0.35">
      <c r="C113" s="13"/>
    </row>
    <row r="114" spans="3:3" s="12" customFormat="1" x14ac:dyDescent="0.35">
      <c r="C114" s="13"/>
    </row>
    <row r="115" spans="3:3" s="12" customFormat="1" x14ac:dyDescent="0.35">
      <c r="C115" s="13"/>
    </row>
    <row r="116" spans="3:3" s="12" customFormat="1" x14ac:dyDescent="0.35">
      <c r="C116" s="13"/>
    </row>
    <row r="117" spans="3:3" s="12" customFormat="1" x14ac:dyDescent="0.35">
      <c r="C117" s="13"/>
    </row>
    <row r="118" spans="3:3" s="12" customFormat="1" x14ac:dyDescent="0.35">
      <c r="C118" s="13"/>
    </row>
    <row r="119" spans="3:3" s="12" customFormat="1" x14ac:dyDescent="0.35">
      <c r="C119" s="13"/>
    </row>
    <row r="120" spans="3:3" s="12" customFormat="1" x14ac:dyDescent="0.35">
      <c r="C120" s="13"/>
    </row>
    <row r="121" spans="3:3" s="12" customFormat="1" x14ac:dyDescent="0.35">
      <c r="C121" s="13"/>
    </row>
    <row r="122" spans="3:3" s="12" customFormat="1" x14ac:dyDescent="0.35">
      <c r="C122" s="13"/>
    </row>
    <row r="123" spans="3:3" s="12" customFormat="1" x14ac:dyDescent="0.35">
      <c r="C123" s="13"/>
    </row>
    <row r="124" spans="3:3" s="12" customFormat="1" x14ac:dyDescent="0.35">
      <c r="C124" s="13"/>
    </row>
    <row r="125" spans="3:3" s="12" customFormat="1" x14ac:dyDescent="0.35">
      <c r="C125" s="13"/>
    </row>
    <row r="126" spans="3:3" s="12" customFormat="1" x14ac:dyDescent="0.35">
      <c r="C126" s="13"/>
    </row>
    <row r="127" spans="3:3" s="12" customFormat="1" x14ac:dyDescent="0.35">
      <c r="C127" s="13"/>
    </row>
    <row r="128" spans="3:3" s="12" customFormat="1" x14ac:dyDescent="0.35">
      <c r="C128" s="13"/>
    </row>
    <row r="129" spans="3:3" s="12" customFormat="1" x14ac:dyDescent="0.35">
      <c r="C129" s="13"/>
    </row>
    <row r="130" spans="3:3" s="12" customFormat="1" x14ac:dyDescent="0.35">
      <c r="C130" s="13"/>
    </row>
    <row r="131" spans="3:3" s="12" customFormat="1" x14ac:dyDescent="0.35">
      <c r="C131" s="13"/>
    </row>
    <row r="132" spans="3:3" s="12" customFormat="1" x14ac:dyDescent="0.35">
      <c r="C132" s="13"/>
    </row>
    <row r="133" spans="3:3" s="12" customFormat="1" x14ac:dyDescent="0.35">
      <c r="C133" s="13"/>
    </row>
    <row r="134" spans="3:3" s="12" customFormat="1" x14ac:dyDescent="0.35">
      <c r="C134" s="13"/>
    </row>
    <row r="135" spans="3:3" s="12" customFormat="1" x14ac:dyDescent="0.35">
      <c r="C135" s="13"/>
    </row>
    <row r="136" spans="3:3" s="12" customFormat="1" x14ac:dyDescent="0.35">
      <c r="C136" s="13"/>
    </row>
    <row r="137" spans="3:3" s="12" customFormat="1" x14ac:dyDescent="0.35">
      <c r="C137" s="13"/>
    </row>
    <row r="138" spans="3:3" s="12" customFormat="1" x14ac:dyDescent="0.35">
      <c r="C138" s="13"/>
    </row>
    <row r="139" spans="3:3" s="12" customFormat="1" x14ac:dyDescent="0.35">
      <c r="C139" s="13"/>
    </row>
    <row r="140" spans="3:3" s="12" customFormat="1" x14ac:dyDescent="0.35">
      <c r="C140" s="13"/>
    </row>
    <row r="141" spans="3:3" s="12" customFormat="1" x14ac:dyDescent="0.35">
      <c r="C141" s="13"/>
    </row>
    <row r="142" spans="3:3" s="12" customFormat="1" x14ac:dyDescent="0.35">
      <c r="C142" s="13"/>
    </row>
    <row r="143" spans="3:3" s="12" customFormat="1" x14ac:dyDescent="0.35">
      <c r="C143" s="13"/>
    </row>
    <row r="144" spans="3:3" s="12" customFormat="1" x14ac:dyDescent="0.35">
      <c r="C144" s="13"/>
    </row>
    <row r="145" spans="3:3" s="12" customFormat="1" x14ac:dyDescent="0.35">
      <c r="C145" s="13"/>
    </row>
    <row r="146" spans="3:3" s="12" customFormat="1" x14ac:dyDescent="0.35">
      <c r="C146" s="13"/>
    </row>
    <row r="147" spans="3:3" s="12" customFormat="1" x14ac:dyDescent="0.35">
      <c r="C147" s="13"/>
    </row>
    <row r="148" spans="3:3" s="12" customFormat="1" x14ac:dyDescent="0.35">
      <c r="C148" s="13"/>
    </row>
    <row r="149" spans="3:3" s="12" customFormat="1" x14ac:dyDescent="0.35">
      <c r="C149" s="13"/>
    </row>
    <row r="150" spans="3:3" s="12" customFormat="1" x14ac:dyDescent="0.35">
      <c r="C150" s="13"/>
    </row>
    <row r="151" spans="3:3" s="12" customFormat="1" x14ac:dyDescent="0.35">
      <c r="C151" s="13"/>
    </row>
    <row r="152" spans="3:3" s="12" customFormat="1" x14ac:dyDescent="0.35">
      <c r="C152" s="13"/>
    </row>
    <row r="153" spans="3:3" s="12" customFormat="1" x14ac:dyDescent="0.35">
      <c r="C153" s="13"/>
    </row>
    <row r="154" spans="3:3" s="12" customFormat="1" x14ac:dyDescent="0.35">
      <c r="C154" s="13"/>
    </row>
    <row r="155" spans="3:3" s="12" customFormat="1" x14ac:dyDescent="0.35">
      <c r="C155" s="13"/>
    </row>
    <row r="156" spans="3:3" s="12" customFormat="1" x14ac:dyDescent="0.35">
      <c r="C156" s="13"/>
    </row>
    <row r="157" spans="3:3" s="12" customFormat="1" x14ac:dyDescent="0.35">
      <c r="C157" s="13"/>
    </row>
    <row r="158" spans="3:3" s="12" customFormat="1" x14ac:dyDescent="0.35">
      <c r="C158" s="13"/>
    </row>
    <row r="159" spans="3:3" s="12" customFormat="1" x14ac:dyDescent="0.35">
      <c r="C159" s="13"/>
    </row>
    <row r="160" spans="3:3" s="12" customFormat="1" x14ac:dyDescent="0.35">
      <c r="C160" s="13"/>
    </row>
    <row r="161" spans="3:3" s="12" customFormat="1" x14ac:dyDescent="0.35">
      <c r="C161" s="13"/>
    </row>
    <row r="162" spans="3:3" s="12" customFormat="1" x14ac:dyDescent="0.35">
      <c r="C162" s="13"/>
    </row>
    <row r="163" spans="3:3" s="12" customFormat="1" x14ac:dyDescent="0.35">
      <c r="C163" s="13"/>
    </row>
    <row r="164" spans="3:3" s="12" customFormat="1" x14ac:dyDescent="0.35">
      <c r="C164" s="13"/>
    </row>
    <row r="165" spans="3:3" s="12" customFormat="1" x14ac:dyDescent="0.35">
      <c r="C165" s="13"/>
    </row>
    <row r="166" spans="3:3" s="12" customFormat="1" x14ac:dyDescent="0.35">
      <c r="C166" s="13"/>
    </row>
    <row r="167" spans="3:3" s="12" customFormat="1" x14ac:dyDescent="0.35">
      <c r="C167" s="13"/>
    </row>
    <row r="168" spans="3:3" s="12" customFormat="1" x14ac:dyDescent="0.35">
      <c r="C168" s="13"/>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249977111117893"/>
  </sheetPr>
  <dimension ref="A1:BC44"/>
  <sheetViews>
    <sheetView zoomScale="80" zoomScaleNormal="80" workbookViewId="0">
      <selection activeCell="J22" sqref="J22"/>
    </sheetView>
  </sheetViews>
  <sheetFormatPr defaultRowHeight="14.5" x14ac:dyDescent="0.35"/>
  <cols>
    <col min="1" max="1" width="37.54296875" bestFit="1" customWidth="1"/>
    <col min="2" max="3" width="9.1796875" style="12"/>
    <col min="4" max="4" width="29.1796875" customWidth="1"/>
    <col min="5" max="7" width="9.1796875" style="12"/>
    <col min="9" max="9" width="102.1796875" customWidth="1"/>
    <col min="11" max="55" width="9.1796875" style="12"/>
  </cols>
  <sheetData>
    <row r="1" spans="1:11" s="12" customFormat="1" ht="15" thickBot="1" x14ac:dyDescent="0.4"/>
    <row r="2" spans="1:11" ht="31.5" customHeight="1" thickBot="1" x14ac:dyDescent="0.4">
      <c r="A2" s="45" t="s">
        <v>6</v>
      </c>
      <c r="D2" s="46">
        <f>VLOOKUP(H2,H15:J30,3,0)</f>
        <v>0.75</v>
      </c>
      <c r="H2" s="63">
        <v>404</v>
      </c>
      <c r="I2" s="47" t="str">
        <f>VLOOKUP(H2,H15:J30,2,0)</f>
        <v>Rendimentos de prestações de serviços não previstos nos campos anteriores</v>
      </c>
    </row>
    <row r="3" spans="1:11" s="12" customFormat="1" ht="16.5" customHeight="1" x14ac:dyDescent="0.35">
      <c r="A3" s="15"/>
      <c r="B3" s="16"/>
    </row>
    <row r="4" spans="1:11" s="12" customFormat="1" x14ac:dyDescent="0.35">
      <c r="G4" s="61"/>
      <c r="H4" s="61"/>
      <c r="I4" s="61"/>
      <c r="J4" s="61"/>
      <c r="K4" s="61"/>
    </row>
    <row r="5" spans="1:11" ht="26" x14ac:dyDescent="0.35">
      <c r="A5" s="3" t="s">
        <v>8</v>
      </c>
      <c r="D5" s="64">
        <v>0</v>
      </c>
      <c r="G5" s="61"/>
      <c r="H5" s="61"/>
      <c r="I5" s="61"/>
      <c r="J5" s="61"/>
      <c r="K5" s="61"/>
    </row>
    <row r="6" spans="1:11" s="12" customFormat="1" x14ac:dyDescent="0.35">
      <c r="G6" s="61"/>
      <c r="H6" s="61"/>
      <c r="I6" s="61"/>
      <c r="J6" s="61"/>
      <c r="K6" s="61"/>
    </row>
    <row r="7" spans="1:11" ht="26" x14ac:dyDescent="0.35">
      <c r="A7" s="3" t="s">
        <v>9</v>
      </c>
      <c r="D7" s="64">
        <v>0</v>
      </c>
      <c r="G7" s="61"/>
      <c r="H7" s="61"/>
      <c r="I7" s="61"/>
      <c r="J7" s="61"/>
      <c r="K7" s="61"/>
    </row>
    <row r="8" spans="1:11" s="12" customFormat="1" x14ac:dyDescent="0.35">
      <c r="G8" s="61"/>
      <c r="H8" s="61"/>
      <c r="I8" s="61"/>
      <c r="J8" s="61"/>
      <c r="K8" s="61"/>
    </row>
    <row r="9" spans="1:11" ht="26" x14ac:dyDescent="0.35">
      <c r="A9" s="3" t="s">
        <v>10</v>
      </c>
      <c r="D9" s="64">
        <v>0</v>
      </c>
      <c r="G9" s="61"/>
      <c r="H9" s="61"/>
      <c r="I9" s="61"/>
      <c r="J9" s="61"/>
      <c r="K9" s="61"/>
    </row>
    <row r="10" spans="1:11" s="12" customFormat="1" x14ac:dyDescent="0.35">
      <c r="G10" s="61"/>
      <c r="H10" s="61"/>
      <c r="I10" s="61"/>
      <c r="J10" s="61"/>
      <c r="K10" s="61"/>
    </row>
    <row r="11" spans="1:11" ht="36" customHeight="1" x14ac:dyDescent="0.35">
      <c r="A11" s="48" t="s">
        <v>216</v>
      </c>
      <c r="D11" s="65">
        <v>0</v>
      </c>
      <c r="G11" s="61"/>
      <c r="H11" s="61"/>
      <c r="I11" s="61"/>
      <c r="J11" s="61"/>
      <c r="K11" s="61"/>
    </row>
    <row r="12" spans="1:11" s="12" customFormat="1" ht="15" thickBot="1" x14ac:dyDescent="0.4"/>
    <row r="13" spans="1:11" ht="39" thickBot="1" x14ac:dyDescent="0.4">
      <c r="A13" s="4" t="s">
        <v>11</v>
      </c>
      <c r="D13" s="49">
        <f>(((D5*D2)-D7-D9-D11)/12)</f>
        <v>0</v>
      </c>
      <c r="H13" s="432" t="s">
        <v>217</v>
      </c>
      <c r="I13" s="432"/>
      <c r="J13" s="432"/>
    </row>
    <row r="14" spans="1:11" ht="27.75" customHeight="1" x14ac:dyDescent="0.35">
      <c r="A14" s="12"/>
      <c r="D14" s="12"/>
      <c r="H14" s="50"/>
      <c r="I14" s="51" t="s">
        <v>218</v>
      </c>
      <c r="J14" s="3" t="s">
        <v>219</v>
      </c>
    </row>
    <row r="15" spans="1:11" ht="25" customHeight="1" x14ac:dyDescent="0.35">
      <c r="A15" s="12"/>
      <c r="D15" s="12"/>
      <c r="H15" s="52">
        <v>401</v>
      </c>
      <c r="I15" s="53" t="s">
        <v>7</v>
      </c>
      <c r="J15" s="54">
        <v>0.15</v>
      </c>
    </row>
    <row r="16" spans="1:11" ht="25" customHeight="1" x14ac:dyDescent="0.35">
      <c r="A16" s="12"/>
      <c r="D16" s="12"/>
      <c r="H16" s="52">
        <v>402</v>
      </c>
      <c r="I16" s="53" t="s">
        <v>220</v>
      </c>
      <c r="J16" s="54">
        <v>0.15</v>
      </c>
    </row>
    <row r="17" spans="1:10" ht="25" customHeight="1" x14ac:dyDescent="0.35">
      <c r="A17" s="12"/>
      <c r="D17" s="12"/>
      <c r="H17" s="55">
        <v>415</v>
      </c>
      <c r="I17" s="56" t="s">
        <v>221</v>
      </c>
      <c r="J17" s="54">
        <v>0.15</v>
      </c>
    </row>
    <row r="18" spans="1:10" ht="25" customHeight="1" x14ac:dyDescent="0.35">
      <c r="A18" s="12"/>
      <c r="D18" s="12"/>
      <c r="H18" s="52">
        <v>416</v>
      </c>
      <c r="I18" s="53" t="s">
        <v>222</v>
      </c>
      <c r="J18" s="54">
        <v>0.15</v>
      </c>
    </row>
    <row r="19" spans="1:10" ht="32.25" customHeight="1" x14ac:dyDescent="0.35">
      <c r="A19" s="12"/>
      <c r="D19" s="12"/>
      <c r="H19" s="52">
        <v>417</v>
      </c>
      <c r="I19" s="57" t="s">
        <v>31</v>
      </c>
      <c r="J19" s="54">
        <v>0.35</v>
      </c>
    </row>
    <row r="20" spans="1:10" ht="25" customHeight="1" x14ac:dyDescent="0.35">
      <c r="A20" s="12"/>
      <c r="D20" s="12"/>
      <c r="H20" s="52">
        <v>403</v>
      </c>
      <c r="I20" s="53" t="s">
        <v>223</v>
      </c>
      <c r="J20" s="54">
        <v>0.75</v>
      </c>
    </row>
    <row r="21" spans="1:10" ht="25" customHeight="1" x14ac:dyDescent="0.35">
      <c r="A21" s="12"/>
      <c r="D21" s="12"/>
      <c r="H21" s="52">
        <v>404</v>
      </c>
      <c r="I21" s="53" t="s">
        <v>224</v>
      </c>
      <c r="J21" s="54">
        <v>0.75</v>
      </c>
    </row>
    <row r="22" spans="1:10" ht="40.5" customHeight="1" x14ac:dyDescent="0.35">
      <c r="A22" s="12"/>
      <c r="D22" s="12"/>
      <c r="H22" s="52">
        <v>405</v>
      </c>
      <c r="I22" s="57" t="s">
        <v>225</v>
      </c>
      <c r="J22" s="54">
        <v>0.95</v>
      </c>
    </row>
    <row r="23" spans="1:10" ht="33" customHeight="1" x14ac:dyDescent="0.35">
      <c r="A23" s="12"/>
      <c r="D23" s="12"/>
      <c r="H23" s="52">
        <v>406</v>
      </c>
      <c r="I23" s="53" t="s">
        <v>226</v>
      </c>
      <c r="J23" s="54">
        <v>0.95</v>
      </c>
    </row>
    <row r="24" spans="1:10" ht="25" customHeight="1" x14ac:dyDescent="0.35">
      <c r="A24" s="12"/>
      <c r="D24" s="12"/>
      <c r="H24" s="52">
        <v>408</v>
      </c>
      <c r="I24" s="53" t="s">
        <v>233</v>
      </c>
      <c r="J24" s="54">
        <v>0.75</v>
      </c>
    </row>
    <row r="25" spans="1:10" ht="25" customHeight="1" x14ac:dyDescent="0.35">
      <c r="A25" s="12"/>
      <c r="D25" s="12"/>
      <c r="H25" s="52">
        <v>409</v>
      </c>
      <c r="I25" s="53" t="s">
        <v>232</v>
      </c>
      <c r="J25" s="54">
        <v>0.75</v>
      </c>
    </row>
    <row r="26" spans="1:10" ht="25" customHeight="1" x14ac:dyDescent="0.35">
      <c r="A26" s="12"/>
      <c r="D26" s="12"/>
      <c r="H26" s="52">
        <v>414</v>
      </c>
      <c r="I26" s="53" t="s">
        <v>227</v>
      </c>
      <c r="J26" s="54">
        <v>0.75</v>
      </c>
    </row>
    <row r="27" spans="1:10" ht="25" customHeight="1" x14ac:dyDescent="0.35">
      <c r="A27" s="12"/>
      <c r="D27" s="12"/>
      <c r="H27" s="58"/>
      <c r="I27" s="59" t="s">
        <v>228</v>
      </c>
      <c r="J27" s="60"/>
    </row>
    <row r="28" spans="1:10" ht="25" customHeight="1" x14ac:dyDescent="0.35">
      <c r="A28" s="12"/>
      <c r="D28" s="12"/>
      <c r="H28" s="52">
        <v>451</v>
      </c>
      <c r="I28" s="53" t="s">
        <v>229</v>
      </c>
      <c r="J28" s="54">
        <v>0.15</v>
      </c>
    </row>
    <row r="29" spans="1:10" ht="25" customHeight="1" x14ac:dyDescent="0.35">
      <c r="A29" s="12"/>
      <c r="D29" s="12"/>
      <c r="H29" s="52">
        <v>452</v>
      </c>
      <c r="I29" s="53" t="s">
        <v>230</v>
      </c>
      <c r="J29" s="54">
        <v>0.15</v>
      </c>
    </row>
    <row r="30" spans="1:10" ht="25" customHeight="1" x14ac:dyDescent="0.35">
      <c r="A30" s="12"/>
      <c r="D30" s="12"/>
      <c r="H30" s="52">
        <v>458</v>
      </c>
      <c r="I30" s="57" t="s">
        <v>231</v>
      </c>
      <c r="J30" s="54">
        <v>0.15</v>
      </c>
    </row>
    <row r="31" spans="1:10" s="12" customFormat="1" x14ac:dyDescent="0.35"/>
    <row r="32" spans="1:10" s="12" customFormat="1" x14ac:dyDescent="0.35"/>
    <row r="33" s="12" customFormat="1" x14ac:dyDescent="0.35"/>
    <row r="34" s="12" customFormat="1" x14ac:dyDescent="0.35"/>
    <row r="35" s="12" customFormat="1" x14ac:dyDescent="0.35"/>
    <row r="36" s="12" customFormat="1" x14ac:dyDescent="0.35"/>
    <row r="37" s="12" customFormat="1" x14ac:dyDescent="0.35"/>
    <row r="38" s="12" customFormat="1" x14ac:dyDescent="0.35"/>
    <row r="39" s="12" customFormat="1" x14ac:dyDescent="0.35"/>
    <row r="40" s="12" customFormat="1" x14ac:dyDescent="0.35"/>
    <row r="41" s="12" customFormat="1" x14ac:dyDescent="0.35"/>
    <row r="42" s="12" customFormat="1" x14ac:dyDescent="0.35"/>
    <row r="44" s="12" customFormat="1" x14ac:dyDescent="0.35"/>
  </sheetData>
  <sheetProtection sheet="1" objects="1" scenarios="1"/>
  <mergeCells count="1">
    <mergeCell ref="H13:J1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249977111117893"/>
  </sheetPr>
  <dimension ref="A1:AJ81"/>
  <sheetViews>
    <sheetView topLeftCell="B1" workbookViewId="0">
      <selection activeCell="G7" sqref="G7"/>
    </sheetView>
  </sheetViews>
  <sheetFormatPr defaultRowHeight="14.5" x14ac:dyDescent="0.35"/>
  <cols>
    <col min="1" max="1" width="53.453125" customWidth="1"/>
    <col min="2" max="2" width="4" style="12" customWidth="1"/>
    <col min="3" max="3" width="28.54296875" customWidth="1"/>
    <col min="4" max="4" width="5.54296875" customWidth="1"/>
    <col min="5" max="5" width="28.54296875" customWidth="1"/>
    <col min="6" max="6" width="5.54296875" customWidth="1"/>
    <col min="7" max="7" width="28.54296875" customWidth="1"/>
    <col min="8" max="36" width="9.1796875" style="12"/>
  </cols>
  <sheetData>
    <row r="1" spans="1:7" s="12" customFormat="1" x14ac:dyDescent="0.35"/>
    <row r="2" spans="1:7" ht="18.5" x14ac:dyDescent="0.35">
      <c r="A2" s="7" t="s">
        <v>12</v>
      </c>
      <c r="C2" s="433" t="s">
        <v>35</v>
      </c>
      <c r="D2" s="433"/>
      <c r="E2" s="433"/>
      <c r="F2" s="433"/>
      <c r="G2" s="433"/>
    </row>
    <row r="3" spans="1:7" s="12" customFormat="1" ht="15" thickBot="1" x14ac:dyDescent="0.4">
      <c r="E3" s="14">
        <v>0.05</v>
      </c>
      <c r="G3" s="14">
        <v>0.25</v>
      </c>
    </row>
    <row r="4" spans="1:7" ht="29.5" thickBot="1" x14ac:dyDescent="0.4">
      <c r="A4" s="5" t="s">
        <v>13</v>
      </c>
      <c r="B4" s="16"/>
      <c r="C4" s="9" t="s">
        <v>32</v>
      </c>
      <c r="D4" s="12"/>
      <c r="E4" s="10" t="s">
        <v>33</v>
      </c>
      <c r="F4" s="12"/>
      <c r="G4" s="11" t="s">
        <v>34</v>
      </c>
    </row>
    <row r="5" spans="1:7" s="12" customFormat="1" x14ac:dyDescent="0.35">
      <c r="A5" s="15"/>
      <c r="B5" s="16"/>
    </row>
    <row r="6" spans="1:7" s="12" customFormat="1" x14ac:dyDescent="0.35"/>
    <row r="7" spans="1:7" ht="26" x14ac:dyDescent="0.35">
      <c r="A7" s="3" t="s">
        <v>14</v>
      </c>
      <c r="C7" s="64">
        <v>0</v>
      </c>
      <c r="D7" s="12"/>
      <c r="E7" s="64"/>
      <c r="F7" s="12"/>
      <c r="G7" s="64"/>
    </row>
    <row r="8" spans="1:7" s="12" customFormat="1" x14ac:dyDescent="0.35"/>
    <row r="9" spans="1:7" s="12" customFormat="1" ht="15" thickBot="1" x14ac:dyDescent="0.4"/>
    <row r="10" spans="1:7" ht="39" thickBot="1" x14ac:dyDescent="0.4">
      <c r="A10" s="4" t="s">
        <v>11</v>
      </c>
      <c r="C10" s="34">
        <f>C7/12</f>
        <v>0</v>
      </c>
      <c r="D10" s="12"/>
      <c r="E10" s="34">
        <f>(E7*E3)/12</f>
        <v>0</v>
      </c>
      <c r="F10" s="12"/>
      <c r="G10" s="34">
        <f>(G7*G3)/12</f>
        <v>0</v>
      </c>
    </row>
    <row r="11" spans="1:7" s="12" customFormat="1" x14ac:dyDescent="0.35"/>
    <row r="12" spans="1:7" s="12" customFormat="1" x14ac:dyDescent="0.35"/>
    <row r="13" spans="1:7" s="12" customFormat="1" x14ac:dyDescent="0.35"/>
    <row r="14" spans="1:7" s="12" customFormat="1" x14ac:dyDescent="0.35"/>
    <row r="15" spans="1:7" s="12" customFormat="1" x14ac:dyDescent="0.35"/>
    <row r="16" spans="1:7" s="12" customFormat="1" x14ac:dyDescent="0.35"/>
    <row r="17" s="12" customFormat="1" x14ac:dyDescent="0.35"/>
    <row r="18" s="12" customFormat="1" x14ac:dyDescent="0.35"/>
    <row r="19" s="12" customFormat="1" x14ac:dyDescent="0.35"/>
    <row r="20" s="12" customFormat="1" x14ac:dyDescent="0.35"/>
    <row r="21" s="12" customFormat="1" x14ac:dyDescent="0.35"/>
    <row r="22" s="12" customFormat="1" x14ac:dyDescent="0.35"/>
    <row r="23" s="12" customFormat="1" x14ac:dyDescent="0.35"/>
    <row r="24" s="12" customFormat="1" x14ac:dyDescent="0.35"/>
    <row r="25" s="12" customFormat="1" x14ac:dyDescent="0.35"/>
    <row r="26" s="12" customFormat="1" x14ac:dyDescent="0.35"/>
    <row r="27" s="12" customFormat="1" x14ac:dyDescent="0.35"/>
    <row r="28" s="12" customFormat="1" x14ac:dyDescent="0.35"/>
    <row r="29" s="12" customFormat="1" x14ac:dyDescent="0.35"/>
    <row r="30" s="12" customFormat="1" x14ac:dyDescent="0.35"/>
    <row r="31" s="12" customFormat="1" x14ac:dyDescent="0.35"/>
    <row r="32" s="12" customFormat="1" x14ac:dyDescent="0.35"/>
    <row r="33" s="12" customFormat="1" x14ac:dyDescent="0.35"/>
    <row r="34" s="12" customFormat="1" x14ac:dyDescent="0.35"/>
    <row r="35" s="12" customFormat="1" x14ac:dyDescent="0.35"/>
    <row r="36" s="12" customFormat="1" x14ac:dyDescent="0.35"/>
    <row r="37" s="12" customFormat="1" x14ac:dyDescent="0.35"/>
    <row r="38" s="12" customFormat="1" x14ac:dyDescent="0.35"/>
    <row r="39" s="12" customFormat="1" x14ac:dyDescent="0.35"/>
    <row r="40" s="12" customFormat="1" x14ac:dyDescent="0.35"/>
    <row r="41" s="12" customFormat="1" x14ac:dyDescent="0.35"/>
    <row r="42" s="12" customFormat="1" x14ac:dyDescent="0.35"/>
    <row r="43" s="12" customFormat="1" x14ac:dyDescent="0.35"/>
    <row r="44" s="12" customFormat="1" x14ac:dyDescent="0.35"/>
    <row r="45" s="12" customFormat="1" x14ac:dyDescent="0.35"/>
    <row r="46" s="12" customFormat="1" x14ac:dyDescent="0.35"/>
    <row r="47" s="12" customFormat="1" x14ac:dyDescent="0.35"/>
    <row r="48" s="12" customFormat="1" x14ac:dyDescent="0.35"/>
    <row r="49" s="12" customFormat="1" x14ac:dyDescent="0.35"/>
    <row r="50" s="12" customFormat="1" x14ac:dyDescent="0.35"/>
    <row r="51" s="12" customFormat="1" x14ac:dyDescent="0.35"/>
    <row r="52" s="12" customFormat="1" x14ac:dyDescent="0.35"/>
    <row r="53" s="12" customFormat="1" x14ac:dyDescent="0.35"/>
    <row r="54" s="12" customFormat="1" x14ac:dyDescent="0.35"/>
    <row r="55" s="12" customFormat="1" x14ac:dyDescent="0.35"/>
    <row r="56" s="12" customFormat="1" x14ac:dyDescent="0.35"/>
    <row r="57" s="12" customFormat="1" x14ac:dyDescent="0.35"/>
    <row r="58" s="12" customFormat="1" x14ac:dyDescent="0.35"/>
    <row r="59" s="12" customFormat="1" x14ac:dyDescent="0.35"/>
    <row r="60" s="12" customFormat="1" x14ac:dyDescent="0.35"/>
    <row r="61" s="12" customFormat="1" x14ac:dyDescent="0.35"/>
    <row r="62" s="12" customFormat="1" x14ac:dyDescent="0.35"/>
    <row r="63" s="12" customFormat="1" x14ac:dyDescent="0.35"/>
    <row r="64" s="12" customFormat="1" x14ac:dyDescent="0.35"/>
    <row r="65" s="12" customFormat="1" x14ac:dyDescent="0.35"/>
    <row r="66" s="12" customFormat="1" x14ac:dyDescent="0.35"/>
    <row r="67" s="12" customFormat="1" x14ac:dyDescent="0.35"/>
    <row r="68" s="12" customFormat="1" x14ac:dyDescent="0.35"/>
    <row r="69" s="12" customFormat="1" x14ac:dyDescent="0.35"/>
    <row r="70" s="12" customFormat="1" x14ac:dyDescent="0.35"/>
    <row r="71" s="12" customFormat="1" x14ac:dyDescent="0.35"/>
    <row r="72" s="12" customFormat="1" x14ac:dyDescent="0.35"/>
    <row r="73" s="12" customFormat="1" x14ac:dyDescent="0.35"/>
    <row r="74" s="12" customFormat="1" x14ac:dyDescent="0.35"/>
    <row r="75" s="12" customFormat="1" x14ac:dyDescent="0.35"/>
    <row r="76" s="12" customFormat="1" x14ac:dyDescent="0.35"/>
    <row r="77" s="12" customFormat="1" x14ac:dyDescent="0.35"/>
    <row r="78" s="12" customFormat="1" x14ac:dyDescent="0.35"/>
    <row r="79" s="12" customFormat="1" x14ac:dyDescent="0.35"/>
    <row r="80" s="12" customFormat="1" x14ac:dyDescent="0.35"/>
    <row r="81" s="12" customFormat="1" x14ac:dyDescent="0.35"/>
  </sheetData>
  <sheetProtection sheet="1" objects="1" scenarios="1"/>
  <mergeCells count="1">
    <mergeCell ref="C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AO274"/>
  <sheetViews>
    <sheetView workbookViewId="0">
      <selection activeCell="H5" sqref="H5"/>
    </sheetView>
  </sheetViews>
  <sheetFormatPr defaultRowHeight="14.5" x14ac:dyDescent="0.35"/>
  <cols>
    <col min="1" max="1" width="60.81640625" bestFit="1" customWidth="1"/>
    <col min="2" max="2" width="9.1796875" style="12"/>
    <col min="3" max="3" width="1.54296875" style="12" customWidth="1"/>
    <col min="4" max="4" width="37.1796875" customWidth="1"/>
  </cols>
  <sheetData>
    <row r="1" spans="1:41" s="12" customFormat="1" x14ac:dyDescent="0.35"/>
    <row r="2" spans="1:41" x14ac:dyDescent="0.35">
      <c r="A2" s="7" t="s">
        <v>15</v>
      </c>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s="12" customFormat="1" x14ac:dyDescent="0.35"/>
    <row r="4" spans="1:41" ht="101.5" x14ac:dyDescent="0.35">
      <c r="A4" s="17" t="s">
        <v>211</v>
      </c>
      <c r="B4" s="16"/>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s="12" customFormat="1" x14ac:dyDescent="0.35"/>
    <row r="6" spans="1:41" ht="26" x14ac:dyDescent="0.35">
      <c r="A6" s="41" t="s">
        <v>16</v>
      </c>
      <c r="D6" s="64">
        <v>0</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row>
    <row r="7" spans="1:41" s="12" customFormat="1" x14ac:dyDescent="0.35"/>
    <row r="8" spans="1:41" ht="26" x14ac:dyDescent="0.35">
      <c r="A8" s="41" t="s">
        <v>9</v>
      </c>
      <c r="D8" s="64">
        <v>0</v>
      </c>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1:41" s="12" customFormat="1" x14ac:dyDescent="0.35"/>
    <row r="10" spans="1:41" ht="26" x14ac:dyDescent="0.35">
      <c r="A10" s="41" t="s">
        <v>10</v>
      </c>
      <c r="D10" s="64">
        <v>0</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row>
    <row r="11" spans="1:41" s="12" customFormat="1" x14ac:dyDescent="0.35"/>
    <row r="12" spans="1:41" s="12" customFormat="1" ht="15" thickBot="1" x14ac:dyDescent="0.4"/>
    <row r="13" spans="1:41" ht="45.5" thickBot="1" x14ac:dyDescent="0.4">
      <c r="A13" s="4" t="s">
        <v>11</v>
      </c>
      <c r="D13" s="35">
        <f>(D6-D8-D10)/12</f>
        <v>0</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row>
    <row r="14" spans="1:41" s="12" customFormat="1" x14ac:dyDescent="0.35"/>
    <row r="15" spans="1:41" s="12" customFormat="1" x14ac:dyDescent="0.35"/>
    <row r="16" spans="1:41" s="12" customFormat="1" x14ac:dyDescent="0.35"/>
    <row r="17" s="12" customFormat="1" x14ac:dyDescent="0.35"/>
    <row r="18" s="12" customFormat="1" x14ac:dyDescent="0.35"/>
    <row r="19" s="12" customFormat="1" x14ac:dyDescent="0.35"/>
    <row r="20" s="12" customFormat="1" x14ac:dyDescent="0.35"/>
    <row r="21" s="12" customFormat="1" x14ac:dyDescent="0.35"/>
    <row r="22" s="12" customFormat="1" x14ac:dyDescent="0.35"/>
    <row r="23" s="12" customFormat="1" x14ac:dyDescent="0.35"/>
    <row r="24" s="12" customFormat="1" x14ac:dyDescent="0.35"/>
    <row r="25" s="12" customFormat="1" x14ac:dyDescent="0.35"/>
    <row r="26" s="12" customFormat="1" x14ac:dyDescent="0.35"/>
    <row r="27" s="12" customFormat="1" x14ac:dyDescent="0.35"/>
    <row r="28" s="12" customFormat="1" x14ac:dyDescent="0.35"/>
    <row r="29" s="12" customFormat="1" x14ac:dyDescent="0.35"/>
    <row r="30" s="12" customFormat="1" x14ac:dyDescent="0.35"/>
    <row r="31" s="12" customFormat="1" x14ac:dyDescent="0.35"/>
    <row r="32" s="12" customFormat="1" x14ac:dyDescent="0.35"/>
    <row r="33" s="12" customFormat="1" x14ac:dyDescent="0.35"/>
    <row r="34" s="12" customFormat="1" x14ac:dyDescent="0.35"/>
    <row r="35" s="12" customFormat="1" x14ac:dyDescent="0.35"/>
    <row r="36" s="12" customFormat="1" x14ac:dyDescent="0.35"/>
    <row r="37" s="12" customFormat="1" x14ac:dyDescent="0.35"/>
    <row r="38" s="12" customFormat="1" x14ac:dyDescent="0.35"/>
    <row r="39" s="12" customFormat="1" x14ac:dyDescent="0.35"/>
    <row r="40" s="12" customFormat="1" x14ac:dyDescent="0.35"/>
    <row r="41" s="12" customFormat="1" x14ac:dyDescent="0.35"/>
    <row r="42" s="12" customFormat="1" x14ac:dyDescent="0.35"/>
    <row r="43" s="12" customFormat="1" x14ac:dyDescent="0.35"/>
    <row r="44" s="12" customFormat="1" x14ac:dyDescent="0.35"/>
    <row r="45" s="12" customFormat="1" x14ac:dyDescent="0.35"/>
    <row r="46" s="12" customFormat="1" x14ac:dyDescent="0.35"/>
    <row r="47" s="12" customFormat="1" x14ac:dyDescent="0.35"/>
    <row r="48" s="12" customFormat="1" x14ac:dyDescent="0.35"/>
    <row r="49" s="12" customFormat="1" x14ac:dyDescent="0.35"/>
    <row r="50" s="12" customFormat="1" x14ac:dyDescent="0.35"/>
    <row r="51" s="12" customFormat="1" x14ac:dyDescent="0.35"/>
    <row r="52" s="12" customFormat="1" x14ac:dyDescent="0.35"/>
    <row r="53" s="12" customFormat="1" x14ac:dyDescent="0.35"/>
    <row r="54" s="12" customFormat="1" x14ac:dyDescent="0.35"/>
    <row r="55" s="12" customFormat="1" x14ac:dyDescent="0.35"/>
    <row r="56" s="12" customFormat="1" x14ac:dyDescent="0.35"/>
    <row r="57" s="12" customFormat="1" x14ac:dyDescent="0.35"/>
    <row r="58" s="12" customFormat="1" x14ac:dyDescent="0.35"/>
    <row r="59" s="12" customFormat="1" x14ac:dyDescent="0.35"/>
    <row r="60" s="12" customFormat="1" x14ac:dyDescent="0.35"/>
    <row r="61" s="12" customFormat="1" x14ac:dyDescent="0.35"/>
    <row r="62" s="12" customFormat="1" x14ac:dyDescent="0.35"/>
    <row r="63" s="12" customFormat="1" x14ac:dyDescent="0.35"/>
    <row r="64" s="12" customFormat="1" x14ac:dyDescent="0.35"/>
    <row r="65" s="12" customFormat="1" x14ac:dyDescent="0.35"/>
    <row r="66" s="12" customFormat="1" x14ac:dyDescent="0.35"/>
    <row r="67" s="12" customFormat="1" x14ac:dyDescent="0.35"/>
    <row r="68" s="12" customFormat="1" x14ac:dyDescent="0.35"/>
    <row r="69" s="12" customFormat="1" x14ac:dyDescent="0.35"/>
    <row r="70" s="12" customFormat="1" x14ac:dyDescent="0.35"/>
    <row r="71" s="12" customFormat="1" x14ac:dyDescent="0.35"/>
    <row r="72" s="12" customFormat="1" x14ac:dyDescent="0.35"/>
    <row r="73" s="12" customFormat="1" x14ac:dyDescent="0.35"/>
    <row r="74" s="12" customFormat="1" x14ac:dyDescent="0.35"/>
    <row r="75" s="12" customFormat="1" x14ac:dyDescent="0.35"/>
    <row r="76" s="12" customFormat="1" x14ac:dyDescent="0.35"/>
    <row r="77" s="12" customFormat="1" x14ac:dyDescent="0.35"/>
    <row r="78" s="12" customFormat="1" x14ac:dyDescent="0.35"/>
    <row r="79" s="12" customFormat="1" x14ac:dyDescent="0.35"/>
    <row r="80" s="12" customFormat="1" x14ac:dyDescent="0.35"/>
    <row r="81" s="12" customFormat="1" x14ac:dyDescent="0.35"/>
    <row r="82" s="12" customFormat="1" x14ac:dyDescent="0.35"/>
    <row r="83" s="12" customFormat="1" x14ac:dyDescent="0.35"/>
    <row r="84" s="12" customFormat="1" x14ac:dyDescent="0.35"/>
    <row r="85" s="12" customFormat="1" x14ac:dyDescent="0.35"/>
    <row r="86" s="12" customFormat="1" x14ac:dyDescent="0.35"/>
    <row r="87" s="12" customFormat="1" x14ac:dyDescent="0.35"/>
    <row r="88" s="12" customFormat="1" x14ac:dyDescent="0.35"/>
    <row r="89" s="12" customFormat="1" x14ac:dyDescent="0.35"/>
    <row r="90" s="12" customFormat="1" x14ac:dyDescent="0.35"/>
    <row r="91" s="12" customFormat="1" x14ac:dyDescent="0.35"/>
    <row r="92" s="12" customFormat="1" x14ac:dyDescent="0.35"/>
    <row r="93" s="12" customFormat="1" x14ac:dyDescent="0.35"/>
    <row r="94" s="12" customFormat="1" x14ac:dyDescent="0.35"/>
    <row r="95" s="12" customFormat="1" x14ac:dyDescent="0.35"/>
    <row r="96" s="12" customFormat="1" x14ac:dyDescent="0.35"/>
    <row r="97" s="12" customFormat="1" x14ac:dyDescent="0.35"/>
    <row r="98" s="12" customFormat="1" x14ac:dyDescent="0.35"/>
    <row r="99" s="12" customFormat="1" x14ac:dyDescent="0.35"/>
    <row r="100" s="12" customFormat="1" x14ac:dyDescent="0.35"/>
    <row r="101" s="12" customFormat="1" x14ac:dyDescent="0.35"/>
    <row r="102" s="12" customFormat="1" x14ac:dyDescent="0.35"/>
    <row r="103" s="12" customFormat="1" x14ac:dyDescent="0.35"/>
    <row r="104" s="12" customFormat="1" x14ac:dyDescent="0.35"/>
    <row r="105" s="12" customFormat="1" x14ac:dyDescent="0.35"/>
    <row r="106" s="12" customFormat="1" x14ac:dyDescent="0.35"/>
    <row r="107" s="12" customFormat="1" x14ac:dyDescent="0.35"/>
    <row r="108" s="12" customFormat="1" x14ac:dyDescent="0.35"/>
    <row r="109" s="12" customFormat="1" x14ac:dyDescent="0.35"/>
    <row r="110" s="12" customFormat="1" x14ac:dyDescent="0.35"/>
    <row r="111" s="12" customFormat="1" x14ac:dyDescent="0.35"/>
    <row r="112" s="12" customFormat="1" x14ac:dyDescent="0.35"/>
    <row r="113" s="12" customFormat="1" x14ac:dyDescent="0.35"/>
    <row r="114" s="12" customFormat="1" x14ac:dyDescent="0.35"/>
    <row r="115" s="12" customFormat="1" x14ac:dyDescent="0.35"/>
    <row r="116" s="12" customFormat="1" x14ac:dyDescent="0.35"/>
    <row r="117" s="12" customFormat="1" x14ac:dyDescent="0.35"/>
    <row r="118" s="12" customFormat="1" x14ac:dyDescent="0.35"/>
    <row r="119" s="12" customFormat="1" x14ac:dyDescent="0.35"/>
    <row r="120" s="12" customFormat="1" x14ac:dyDescent="0.35"/>
    <row r="121" s="12" customFormat="1" x14ac:dyDescent="0.35"/>
    <row r="122" s="12" customFormat="1" x14ac:dyDescent="0.35"/>
    <row r="123" s="12" customFormat="1" x14ac:dyDescent="0.35"/>
    <row r="124" s="12" customFormat="1" x14ac:dyDescent="0.35"/>
    <row r="125" s="12" customFormat="1" x14ac:dyDescent="0.35"/>
    <row r="126" s="12" customFormat="1" x14ac:dyDescent="0.35"/>
    <row r="127" s="12" customFormat="1" x14ac:dyDescent="0.35"/>
    <row r="128" s="12" customFormat="1" x14ac:dyDescent="0.35"/>
    <row r="129" s="12" customFormat="1" x14ac:dyDescent="0.35"/>
    <row r="130" s="12" customFormat="1" x14ac:dyDescent="0.35"/>
    <row r="131" s="12" customFormat="1" x14ac:dyDescent="0.35"/>
    <row r="132" s="12" customFormat="1" x14ac:dyDescent="0.35"/>
    <row r="133" s="12" customFormat="1" x14ac:dyDescent="0.35"/>
    <row r="134" s="12" customFormat="1" x14ac:dyDescent="0.35"/>
    <row r="135" s="12" customFormat="1" x14ac:dyDescent="0.35"/>
    <row r="136" s="12" customFormat="1" x14ac:dyDescent="0.35"/>
    <row r="137" s="12" customFormat="1" x14ac:dyDescent="0.35"/>
    <row r="138" s="12" customFormat="1" x14ac:dyDescent="0.35"/>
    <row r="139" s="12" customFormat="1" x14ac:dyDescent="0.35"/>
    <row r="140" s="12" customFormat="1" x14ac:dyDescent="0.35"/>
    <row r="141" s="12" customFormat="1" x14ac:dyDescent="0.35"/>
    <row r="142" s="12" customFormat="1" x14ac:dyDescent="0.35"/>
    <row r="143" s="12" customFormat="1" x14ac:dyDescent="0.35"/>
    <row r="144" s="12" customFormat="1" x14ac:dyDescent="0.35"/>
    <row r="145" s="12" customFormat="1" x14ac:dyDescent="0.35"/>
    <row r="146" s="12" customFormat="1" x14ac:dyDescent="0.35"/>
    <row r="147" s="12" customFormat="1" x14ac:dyDescent="0.35"/>
    <row r="148" s="12" customFormat="1" x14ac:dyDescent="0.35"/>
    <row r="149" s="12" customFormat="1" x14ac:dyDescent="0.35"/>
    <row r="150" s="12" customFormat="1" x14ac:dyDescent="0.35"/>
    <row r="151" s="12" customFormat="1" x14ac:dyDescent="0.35"/>
    <row r="152" s="12" customFormat="1" x14ac:dyDescent="0.35"/>
    <row r="153" s="12" customFormat="1" x14ac:dyDescent="0.35"/>
    <row r="154" s="12" customFormat="1" x14ac:dyDescent="0.35"/>
    <row r="155" s="12" customFormat="1" x14ac:dyDescent="0.35"/>
    <row r="156" s="12" customFormat="1" x14ac:dyDescent="0.35"/>
    <row r="157" s="12" customFormat="1" x14ac:dyDescent="0.35"/>
    <row r="158" s="12" customFormat="1" x14ac:dyDescent="0.35"/>
    <row r="159" s="12" customFormat="1" x14ac:dyDescent="0.35"/>
    <row r="160" s="12" customFormat="1" x14ac:dyDescent="0.35"/>
    <row r="161" s="12" customFormat="1" x14ac:dyDescent="0.35"/>
    <row r="162" s="12" customFormat="1" x14ac:dyDescent="0.35"/>
    <row r="163" s="12" customFormat="1" x14ac:dyDescent="0.35"/>
    <row r="164" s="12" customFormat="1" x14ac:dyDescent="0.35"/>
    <row r="165" s="12" customFormat="1" x14ac:dyDescent="0.35"/>
    <row r="166" s="12" customFormat="1" x14ac:dyDescent="0.35"/>
    <row r="167" s="12" customFormat="1" x14ac:dyDescent="0.35"/>
    <row r="168" s="12" customFormat="1" x14ac:dyDescent="0.35"/>
    <row r="169" s="12" customFormat="1" x14ac:dyDescent="0.35"/>
    <row r="170" s="12" customFormat="1" x14ac:dyDescent="0.35"/>
    <row r="171" s="12" customFormat="1" x14ac:dyDescent="0.35"/>
    <row r="172" s="12" customFormat="1" x14ac:dyDescent="0.35"/>
    <row r="173" s="12" customFormat="1" x14ac:dyDescent="0.35"/>
    <row r="174" s="12" customFormat="1" x14ac:dyDescent="0.35"/>
    <row r="175" s="12" customFormat="1" x14ac:dyDescent="0.35"/>
    <row r="176" s="12" customFormat="1" x14ac:dyDescent="0.35"/>
    <row r="177" s="12" customFormat="1" x14ac:dyDescent="0.35"/>
    <row r="178" s="12" customFormat="1" x14ac:dyDescent="0.35"/>
    <row r="179" s="12" customFormat="1" x14ac:dyDescent="0.35"/>
    <row r="180" s="12" customFormat="1" x14ac:dyDescent="0.35"/>
    <row r="181" s="12" customFormat="1" x14ac:dyDescent="0.35"/>
    <row r="182" s="12" customFormat="1" x14ac:dyDescent="0.35"/>
    <row r="183" s="12" customFormat="1" x14ac:dyDescent="0.35"/>
    <row r="184" s="12" customFormat="1" x14ac:dyDescent="0.35"/>
    <row r="185" s="12" customFormat="1" x14ac:dyDescent="0.35"/>
    <row r="186" s="12" customFormat="1" x14ac:dyDescent="0.35"/>
    <row r="187" s="12" customFormat="1" x14ac:dyDescent="0.35"/>
    <row r="188" s="12" customFormat="1" x14ac:dyDescent="0.35"/>
    <row r="189" s="12" customFormat="1" x14ac:dyDescent="0.35"/>
    <row r="190" s="12" customFormat="1" x14ac:dyDescent="0.35"/>
    <row r="191" s="12" customFormat="1" x14ac:dyDescent="0.35"/>
    <row r="192" s="12" customFormat="1" x14ac:dyDescent="0.35"/>
    <row r="193" s="12" customFormat="1" x14ac:dyDescent="0.35"/>
    <row r="194" s="12" customFormat="1" x14ac:dyDescent="0.35"/>
    <row r="195" s="12" customFormat="1" x14ac:dyDescent="0.35"/>
    <row r="196" s="12" customFormat="1" x14ac:dyDescent="0.35"/>
    <row r="197" s="12" customFormat="1" x14ac:dyDescent="0.35"/>
    <row r="198" s="12" customFormat="1" x14ac:dyDescent="0.35"/>
    <row r="199" s="12" customFormat="1" x14ac:dyDescent="0.35"/>
    <row r="200" s="12" customFormat="1" x14ac:dyDescent="0.35"/>
    <row r="201" s="12" customFormat="1" x14ac:dyDescent="0.35"/>
    <row r="202" s="12" customFormat="1" x14ac:dyDescent="0.35"/>
    <row r="203" s="12" customFormat="1" x14ac:dyDescent="0.35"/>
    <row r="204" s="12" customFormat="1" x14ac:dyDescent="0.35"/>
    <row r="205" s="12" customFormat="1" x14ac:dyDescent="0.35"/>
    <row r="206" s="12" customFormat="1" x14ac:dyDescent="0.35"/>
    <row r="207" s="12" customFormat="1" x14ac:dyDescent="0.35"/>
    <row r="208" s="12" customFormat="1" x14ac:dyDescent="0.35"/>
    <row r="209" s="12" customFormat="1" x14ac:dyDescent="0.35"/>
    <row r="210" s="12" customFormat="1" x14ac:dyDescent="0.35"/>
    <row r="211" s="12" customFormat="1" x14ac:dyDescent="0.35"/>
    <row r="212" s="12" customFormat="1" x14ac:dyDescent="0.35"/>
    <row r="213" s="12" customFormat="1" x14ac:dyDescent="0.35"/>
    <row r="214" s="12" customFormat="1" x14ac:dyDescent="0.35"/>
    <row r="215" s="12" customFormat="1" x14ac:dyDescent="0.35"/>
    <row r="216" s="12" customFormat="1" x14ac:dyDescent="0.35"/>
    <row r="217" s="12" customFormat="1" x14ac:dyDescent="0.35"/>
    <row r="218" s="12" customFormat="1" x14ac:dyDescent="0.35"/>
    <row r="219" s="12" customFormat="1" x14ac:dyDescent="0.35"/>
    <row r="220" s="12" customFormat="1" x14ac:dyDescent="0.35"/>
    <row r="221" s="12" customFormat="1" x14ac:dyDescent="0.35"/>
    <row r="222" s="12" customFormat="1" x14ac:dyDescent="0.35"/>
    <row r="223" s="12" customFormat="1" x14ac:dyDescent="0.35"/>
    <row r="224" s="12" customFormat="1" x14ac:dyDescent="0.35"/>
    <row r="225" s="12" customFormat="1" x14ac:dyDescent="0.35"/>
    <row r="226" s="12" customFormat="1" x14ac:dyDescent="0.35"/>
    <row r="227" s="12" customFormat="1" x14ac:dyDescent="0.35"/>
    <row r="228" s="12" customFormat="1" x14ac:dyDescent="0.35"/>
    <row r="229" s="12" customFormat="1" x14ac:dyDescent="0.35"/>
    <row r="230" s="12" customFormat="1" x14ac:dyDescent="0.35"/>
    <row r="231" s="12" customFormat="1" x14ac:dyDescent="0.35"/>
    <row r="232" s="12" customFormat="1" x14ac:dyDescent="0.35"/>
    <row r="233" s="12" customFormat="1" x14ac:dyDescent="0.35"/>
    <row r="234" s="12" customFormat="1" x14ac:dyDescent="0.35"/>
    <row r="235" s="12" customFormat="1" x14ac:dyDescent="0.35"/>
    <row r="236" s="12" customFormat="1" x14ac:dyDescent="0.35"/>
    <row r="237" s="12" customFormat="1" x14ac:dyDescent="0.35"/>
    <row r="238" s="12" customFormat="1" x14ac:dyDescent="0.35"/>
    <row r="239" s="12" customFormat="1" x14ac:dyDescent="0.35"/>
    <row r="240" s="12" customFormat="1" x14ac:dyDescent="0.35"/>
    <row r="241" s="12" customFormat="1" x14ac:dyDescent="0.35"/>
    <row r="242" s="12" customFormat="1" x14ac:dyDescent="0.35"/>
    <row r="243" s="12" customFormat="1" x14ac:dyDescent="0.35"/>
    <row r="244" s="12" customFormat="1" x14ac:dyDescent="0.35"/>
    <row r="245" s="12" customFormat="1" x14ac:dyDescent="0.35"/>
    <row r="246" s="12" customFormat="1" x14ac:dyDescent="0.35"/>
    <row r="247" s="12" customFormat="1" x14ac:dyDescent="0.35"/>
    <row r="248" s="12" customFormat="1" x14ac:dyDescent="0.35"/>
    <row r="249" s="12" customFormat="1" x14ac:dyDescent="0.35"/>
    <row r="250" s="12" customFormat="1" x14ac:dyDescent="0.35"/>
    <row r="251" s="12" customFormat="1" x14ac:dyDescent="0.35"/>
    <row r="252" s="12" customFormat="1" x14ac:dyDescent="0.35"/>
    <row r="253" s="12" customFormat="1" x14ac:dyDescent="0.35"/>
    <row r="254" s="12" customFormat="1" x14ac:dyDescent="0.35"/>
    <row r="255" s="12" customFormat="1" x14ac:dyDescent="0.35"/>
    <row r="256" s="12" customFormat="1" x14ac:dyDescent="0.35"/>
    <row r="257" s="12" customFormat="1" x14ac:dyDescent="0.35"/>
    <row r="258" s="12" customFormat="1" x14ac:dyDescent="0.35"/>
    <row r="259" s="12" customFormat="1" x14ac:dyDescent="0.35"/>
    <row r="260" s="12" customFormat="1" x14ac:dyDescent="0.35"/>
    <row r="261" s="12" customFormat="1" x14ac:dyDescent="0.35"/>
    <row r="262" s="12" customFormat="1" x14ac:dyDescent="0.35"/>
    <row r="263" s="12" customFormat="1" x14ac:dyDescent="0.35"/>
    <row r="264" s="12" customFormat="1" x14ac:dyDescent="0.35"/>
    <row r="265" s="12" customFormat="1" x14ac:dyDescent="0.35"/>
    <row r="266" s="12" customFormat="1" x14ac:dyDescent="0.35"/>
    <row r="267" s="12" customFormat="1" x14ac:dyDescent="0.35"/>
    <row r="268" s="12" customFormat="1" x14ac:dyDescent="0.35"/>
    <row r="269" s="12" customFormat="1" x14ac:dyDescent="0.35"/>
    <row r="270" s="12" customFormat="1" x14ac:dyDescent="0.35"/>
    <row r="271" s="12" customFormat="1" x14ac:dyDescent="0.35"/>
    <row r="272" s="12" customFormat="1" x14ac:dyDescent="0.35"/>
    <row r="273" s="12" customFormat="1" x14ac:dyDescent="0.35"/>
    <row r="274" s="12" customFormat="1" x14ac:dyDescent="0.35"/>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66"/>
  </sheetPr>
  <dimension ref="A1:AK146"/>
  <sheetViews>
    <sheetView workbookViewId="0">
      <selection activeCell="F25" sqref="F25"/>
    </sheetView>
  </sheetViews>
  <sheetFormatPr defaultColWidth="9.1796875" defaultRowHeight="14.5" x14ac:dyDescent="0.35"/>
  <cols>
    <col min="1" max="1" width="34.81640625" customWidth="1"/>
    <col min="2" max="2" width="3.1796875" style="12" customWidth="1"/>
    <col min="3" max="3" width="3" customWidth="1"/>
    <col min="4" max="4" width="39.1796875" customWidth="1"/>
    <col min="5" max="5" width="2.81640625" style="12" customWidth="1"/>
    <col min="6" max="6" width="33.81640625" customWidth="1"/>
    <col min="7" max="7" width="2.81640625" style="12" customWidth="1"/>
    <col min="8" max="8" width="33.81640625" customWidth="1"/>
    <col min="9" max="37" width="9.1796875" style="12"/>
  </cols>
  <sheetData>
    <row r="1" spans="1:18" s="12" customFormat="1" x14ac:dyDescent="0.35"/>
    <row r="2" spans="1:18" ht="30" customHeight="1" x14ac:dyDescent="0.35">
      <c r="A2" s="7" t="s">
        <v>17</v>
      </c>
      <c r="C2" s="434" t="s">
        <v>18</v>
      </c>
      <c r="D2" s="434"/>
      <c r="E2" s="23"/>
      <c r="F2" s="23"/>
      <c r="G2" s="23"/>
      <c r="H2" s="12"/>
    </row>
    <row r="3" spans="1:18" s="12" customFormat="1" ht="15" thickBot="1" x14ac:dyDescent="0.4"/>
    <row r="4" spans="1:18" ht="15" thickBot="1" x14ac:dyDescent="0.4">
      <c r="A4" s="42" t="s">
        <v>19</v>
      </c>
      <c r="B4" s="18"/>
      <c r="C4" s="18"/>
      <c r="D4" s="6" t="s">
        <v>20</v>
      </c>
      <c r="E4" s="24"/>
      <c r="F4" s="7" t="s">
        <v>21</v>
      </c>
      <c r="G4" s="24"/>
      <c r="H4" s="6" t="s">
        <v>22</v>
      </c>
      <c r="R4" s="27"/>
    </row>
    <row r="5" spans="1:18" s="12" customFormat="1" ht="15" thickBot="1" x14ac:dyDescent="0.4">
      <c r="B5" s="19"/>
      <c r="C5" s="19"/>
    </row>
    <row r="6" spans="1:18" ht="26.5" thickBot="1" x14ac:dyDescent="0.4">
      <c r="A6" s="43" t="s">
        <v>23</v>
      </c>
      <c r="B6" s="20"/>
      <c r="C6" s="21"/>
      <c r="D6" s="64">
        <v>0</v>
      </c>
      <c r="E6" s="25"/>
      <c r="F6" s="64">
        <v>0</v>
      </c>
      <c r="G6" s="25"/>
      <c r="H6" s="64">
        <v>0</v>
      </c>
    </row>
    <row r="7" spans="1:18" s="12" customFormat="1" ht="15" thickBot="1" x14ac:dyDescent="0.4">
      <c r="B7" s="19"/>
      <c r="C7" s="19"/>
    </row>
    <row r="8" spans="1:18" ht="26.5" thickBot="1" x14ac:dyDescent="0.4">
      <c r="A8" s="41" t="s">
        <v>9</v>
      </c>
      <c r="B8" s="22">
        <f>B6</f>
        <v>0</v>
      </c>
      <c r="C8" s="19"/>
      <c r="D8" s="66">
        <v>0</v>
      </c>
      <c r="E8" s="25"/>
      <c r="F8" s="66">
        <v>0</v>
      </c>
      <c r="G8" s="25"/>
      <c r="H8" s="66">
        <v>0</v>
      </c>
    </row>
    <row r="9" spans="1:18" s="12" customFormat="1" ht="15" thickBot="1" x14ac:dyDescent="0.4">
      <c r="B9" s="19"/>
      <c r="C9" s="19"/>
    </row>
    <row r="10" spans="1:18" ht="26.5" thickBot="1" x14ac:dyDescent="0.4">
      <c r="A10" s="41" t="s">
        <v>24</v>
      </c>
      <c r="B10" s="22">
        <f>B6</f>
        <v>0</v>
      </c>
      <c r="C10" s="19"/>
      <c r="D10" s="66">
        <v>0</v>
      </c>
      <c r="E10" s="25"/>
      <c r="F10" s="66">
        <v>0</v>
      </c>
      <c r="G10" s="25"/>
      <c r="H10" s="66">
        <v>0</v>
      </c>
    </row>
    <row r="11" spans="1:18" s="12" customFormat="1" ht="15" thickBot="1" x14ac:dyDescent="0.4"/>
    <row r="12" spans="1:18" ht="45.5" thickBot="1" x14ac:dyDescent="0.4">
      <c r="A12" s="4" t="s">
        <v>11</v>
      </c>
      <c r="C12" s="12"/>
      <c r="D12" s="36">
        <f>(D6-D8-D10)/12</f>
        <v>0</v>
      </c>
      <c r="E12" s="26"/>
      <c r="F12" s="37">
        <f>(F6-F8-F10)/12</f>
        <v>0</v>
      </c>
      <c r="G12" s="26"/>
      <c r="H12" s="38">
        <f>(H6-H8-H10)/12/2</f>
        <v>0</v>
      </c>
    </row>
    <row r="13" spans="1:18" s="12" customFormat="1" x14ac:dyDescent="0.35"/>
    <row r="14" spans="1:18" s="12" customFormat="1" x14ac:dyDescent="0.35"/>
    <row r="15" spans="1:18" s="12" customFormat="1" x14ac:dyDescent="0.35"/>
    <row r="16" spans="1:18" s="12" customFormat="1" x14ac:dyDescent="0.35"/>
    <row r="17" s="12" customFormat="1" x14ac:dyDescent="0.35"/>
    <row r="18" s="12" customFormat="1" x14ac:dyDescent="0.35"/>
    <row r="19" s="12" customFormat="1" x14ac:dyDescent="0.35"/>
    <row r="20" s="12" customFormat="1" x14ac:dyDescent="0.35"/>
    <row r="21" s="12" customFormat="1" x14ac:dyDescent="0.35"/>
    <row r="22" s="12" customFormat="1" x14ac:dyDescent="0.35"/>
    <row r="23" s="12" customFormat="1" x14ac:dyDescent="0.35"/>
    <row r="24" s="12" customFormat="1" x14ac:dyDescent="0.35"/>
    <row r="25" s="12" customFormat="1" x14ac:dyDescent="0.35"/>
    <row r="26" s="12" customFormat="1" x14ac:dyDescent="0.35"/>
    <row r="27" s="12" customFormat="1" x14ac:dyDescent="0.35"/>
    <row r="28" s="12" customFormat="1" x14ac:dyDescent="0.35"/>
    <row r="29" s="12" customFormat="1" x14ac:dyDescent="0.35"/>
    <row r="30" s="12" customFormat="1" x14ac:dyDescent="0.35"/>
    <row r="31" s="12" customFormat="1" x14ac:dyDescent="0.35"/>
    <row r="32" s="12" customFormat="1" x14ac:dyDescent="0.35"/>
    <row r="33" s="12" customFormat="1" x14ac:dyDescent="0.35"/>
    <row r="34" s="12" customFormat="1" x14ac:dyDescent="0.35"/>
    <row r="35" s="12" customFormat="1" x14ac:dyDescent="0.35"/>
    <row r="36" s="12" customFormat="1" x14ac:dyDescent="0.35"/>
    <row r="37" s="12" customFormat="1" x14ac:dyDescent="0.35"/>
    <row r="38" s="12" customFormat="1" x14ac:dyDescent="0.35"/>
    <row r="39" s="12" customFormat="1" x14ac:dyDescent="0.35"/>
    <row r="40" s="12" customFormat="1" x14ac:dyDescent="0.35"/>
    <row r="41" s="12" customFormat="1" x14ac:dyDescent="0.35"/>
    <row r="42" s="12" customFormat="1" x14ac:dyDescent="0.35"/>
    <row r="43" s="12" customFormat="1" x14ac:dyDescent="0.35"/>
    <row r="44" s="12" customFormat="1" x14ac:dyDescent="0.35"/>
    <row r="45" s="12" customFormat="1" x14ac:dyDescent="0.35"/>
    <row r="46" s="12" customFormat="1" x14ac:dyDescent="0.35"/>
    <row r="47" s="12" customFormat="1" x14ac:dyDescent="0.35"/>
    <row r="48" s="12" customFormat="1" x14ac:dyDescent="0.35"/>
    <row r="49" s="12" customFormat="1" x14ac:dyDescent="0.35"/>
    <row r="50" s="12" customFormat="1" x14ac:dyDescent="0.35"/>
    <row r="51" s="12" customFormat="1" x14ac:dyDescent="0.35"/>
    <row r="52" s="12" customFormat="1" x14ac:dyDescent="0.35"/>
    <row r="53" s="12" customFormat="1" x14ac:dyDescent="0.35"/>
    <row r="54" s="12" customFormat="1" x14ac:dyDescent="0.35"/>
    <row r="55" s="12" customFormat="1" x14ac:dyDescent="0.35"/>
    <row r="56" s="12" customFormat="1" x14ac:dyDescent="0.35"/>
    <row r="57" s="12" customFormat="1" x14ac:dyDescent="0.35"/>
    <row r="58" s="12" customFormat="1" x14ac:dyDescent="0.35"/>
    <row r="59" s="12" customFormat="1" x14ac:dyDescent="0.35"/>
    <row r="60" s="12" customFormat="1" x14ac:dyDescent="0.35"/>
    <row r="61" s="12" customFormat="1" x14ac:dyDescent="0.35"/>
    <row r="62" s="12" customFormat="1" x14ac:dyDescent="0.35"/>
    <row r="63" s="12" customFormat="1" x14ac:dyDescent="0.35"/>
    <row r="64" s="12" customFormat="1" x14ac:dyDescent="0.35"/>
    <row r="65" s="12" customFormat="1" x14ac:dyDescent="0.35"/>
    <row r="66" s="12" customFormat="1" x14ac:dyDescent="0.35"/>
    <row r="67" s="12" customFormat="1" x14ac:dyDescent="0.35"/>
    <row r="68" s="12" customFormat="1" x14ac:dyDescent="0.35"/>
    <row r="69" s="12" customFormat="1" x14ac:dyDescent="0.35"/>
    <row r="70" s="12" customFormat="1" x14ac:dyDescent="0.35"/>
    <row r="71" s="12" customFormat="1" x14ac:dyDescent="0.35"/>
    <row r="72" s="12" customFormat="1" x14ac:dyDescent="0.35"/>
    <row r="73" s="12" customFormat="1" x14ac:dyDescent="0.35"/>
    <row r="74" s="12" customFormat="1" x14ac:dyDescent="0.35"/>
    <row r="75" s="12" customFormat="1" x14ac:dyDescent="0.35"/>
    <row r="76" s="12" customFormat="1" x14ac:dyDescent="0.35"/>
    <row r="77" s="12" customFormat="1" x14ac:dyDescent="0.35"/>
    <row r="78" s="12" customFormat="1" x14ac:dyDescent="0.35"/>
    <row r="79" s="12" customFormat="1" x14ac:dyDescent="0.35"/>
    <row r="80" s="12" customFormat="1" x14ac:dyDescent="0.35"/>
    <row r="81" s="12" customFormat="1" x14ac:dyDescent="0.35"/>
    <row r="82" s="12" customFormat="1" x14ac:dyDescent="0.35"/>
    <row r="83" s="12" customFormat="1" x14ac:dyDescent="0.35"/>
    <row r="84" s="12" customFormat="1" x14ac:dyDescent="0.35"/>
    <row r="85" s="12" customFormat="1" x14ac:dyDescent="0.35"/>
    <row r="86" s="12" customFormat="1" x14ac:dyDescent="0.35"/>
    <row r="87" s="12" customFormat="1" x14ac:dyDescent="0.35"/>
    <row r="88" s="12" customFormat="1" x14ac:dyDescent="0.35"/>
    <row r="89" s="12" customFormat="1" x14ac:dyDescent="0.35"/>
    <row r="90" s="12" customFormat="1" x14ac:dyDescent="0.35"/>
    <row r="91" s="12" customFormat="1" x14ac:dyDescent="0.35"/>
    <row r="92" s="12" customFormat="1" x14ac:dyDescent="0.35"/>
    <row r="93" s="12" customFormat="1" x14ac:dyDescent="0.35"/>
    <row r="94" s="12" customFormat="1" x14ac:dyDescent="0.35"/>
    <row r="95" s="12" customFormat="1" x14ac:dyDescent="0.35"/>
    <row r="96" s="12" customFormat="1" x14ac:dyDescent="0.35"/>
    <row r="97" s="12" customFormat="1" x14ac:dyDescent="0.35"/>
    <row r="98" s="12" customFormat="1" x14ac:dyDescent="0.35"/>
    <row r="99" s="12" customFormat="1" x14ac:dyDescent="0.35"/>
    <row r="100" s="12" customFormat="1" x14ac:dyDescent="0.35"/>
    <row r="101" s="12" customFormat="1" x14ac:dyDescent="0.35"/>
    <row r="102" s="12" customFormat="1" x14ac:dyDescent="0.35"/>
    <row r="103" s="12" customFormat="1" x14ac:dyDescent="0.35"/>
    <row r="104" s="12" customFormat="1" x14ac:dyDescent="0.35"/>
    <row r="105" s="12" customFormat="1" x14ac:dyDescent="0.35"/>
    <row r="106" s="12" customFormat="1" x14ac:dyDescent="0.35"/>
    <row r="107" s="12" customFormat="1" x14ac:dyDescent="0.35"/>
    <row r="108" s="12" customFormat="1" x14ac:dyDescent="0.35"/>
    <row r="109" s="12" customFormat="1" x14ac:dyDescent="0.35"/>
    <row r="110" s="12" customFormat="1" x14ac:dyDescent="0.35"/>
    <row r="111" s="12" customFormat="1" x14ac:dyDescent="0.35"/>
    <row r="112" s="12" customFormat="1" x14ac:dyDescent="0.35"/>
    <row r="113" s="12" customFormat="1" x14ac:dyDescent="0.35"/>
    <row r="114" s="12" customFormat="1" x14ac:dyDescent="0.35"/>
    <row r="115" s="12" customFormat="1" x14ac:dyDescent="0.35"/>
    <row r="116" s="12" customFormat="1" x14ac:dyDescent="0.35"/>
    <row r="117" s="12" customFormat="1" x14ac:dyDescent="0.35"/>
    <row r="118" s="12" customFormat="1" x14ac:dyDescent="0.35"/>
    <row r="119" s="12" customFormat="1" x14ac:dyDescent="0.35"/>
    <row r="120" s="12" customFormat="1" x14ac:dyDescent="0.35"/>
    <row r="121" s="12" customFormat="1" x14ac:dyDescent="0.35"/>
    <row r="122" s="12" customFormat="1" x14ac:dyDescent="0.35"/>
    <row r="123" s="12" customFormat="1" x14ac:dyDescent="0.35"/>
    <row r="124" s="12" customFormat="1" x14ac:dyDescent="0.35"/>
    <row r="125" s="12" customFormat="1" x14ac:dyDescent="0.35"/>
    <row r="126" s="12" customFormat="1" x14ac:dyDescent="0.35"/>
    <row r="127" s="12" customFormat="1" x14ac:dyDescent="0.35"/>
    <row r="128" s="12" customFormat="1" x14ac:dyDescent="0.35"/>
    <row r="129" s="12" customFormat="1" x14ac:dyDescent="0.35"/>
    <row r="130" s="12" customFormat="1" x14ac:dyDescent="0.35"/>
    <row r="131" s="12" customFormat="1" x14ac:dyDescent="0.35"/>
    <row r="132" s="12" customFormat="1" x14ac:dyDescent="0.35"/>
    <row r="133" s="12" customFormat="1" x14ac:dyDescent="0.35"/>
    <row r="134" s="12" customFormat="1" x14ac:dyDescent="0.35"/>
    <row r="135" s="12" customFormat="1" x14ac:dyDescent="0.35"/>
    <row r="136" s="12" customFormat="1" x14ac:dyDescent="0.35"/>
    <row r="137" s="12" customFormat="1" x14ac:dyDescent="0.35"/>
    <row r="138" s="12" customFormat="1" x14ac:dyDescent="0.35"/>
    <row r="139" s="12" customFormat="1" x14ac:dyDescent="0.35"/>
    <row r="140" s="12" customFormat="1" x14ac:dyDescent="0.35"/>
    <row r="141" s="12" customFormat="1" x14ac:dyDescent="0.35"/>
    <row r="142" s="12" customFormat="1" x14ac:dyDescent="0.35"/>
    <row r="143" s="12" customFormat="1" x14ac:dyDescent="0.35"/>
    <row r="144" s="12" customFormat="1" x14ac:dyDescent="0.35"/>
    <row r="145" s="12" customFormat="1" x14ac:dyDescent="0.35"/>
    <row r="146" s="12" customFormat="1" x14ac:dyDescent="0.35"/>
  </sheetData>
  <sheetProtection sheet="1" objects="1" scenarios="1"/>
  <mergeCells count="1">
    <mergeCell ref="C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88"/>
  <sheetViews>
    <sheetView showGridLines="0" workbookViewId="0">
      <selection activeCell="F20" sqref="F20"/>
    </sheetView>
  </sheetViews>
  <sheetFormatPr defaultRowHeight="14.5" x14ac:dyDescent="0.35"/>
  <cols>
    <col min="4" max="5" width="9.1796875" style="44"/>
    <col min="9" max="11" width="9.1796875" style="44"/>
    <col min="12" max="12" width="10.453125" customWidth="1"/>
    <col min="13" max="13" width="11.1796875" customWidth="1"/>
    <col min="14" max="14" width="80.81640625" bestFit="1" customWidth="1"/>
    <col min="15" max="15" width="9.1796875" style="44"/>
    <col min="16" max="16" width="9.1796875" style="44" customWidth="1"/>
    <col min="17" max="21" width="9.1796875" style="44"/>
  </cols>
  <sheetData>
    <row r="1" spans="1:14" x14ac:dyDescent="0.35">
      <c r="A1" s="44"/>
      <c r="B1" s="44"/>
      <c r="C1" s="44"/>
      <c r="F1" s="44"/>
      <c r="G1" s="44"/>
      <c r="H1" s="44"/>
      <c r="L1" s="44"/>
      <c r="M1" s="44"/>
      <c r="N1" s="44"/>
    </row>
    <row r="2" spans="1:14" x14ac:dyDescent="0.35">
      <c r="A2" s="44"/>
      <c r="B2" s="44"/>
      <c r="C2" s="44"/>
      <c r="F2" s="44"/>
      <c r="G2" s="44"/>
      <c r="H2" s="44"/>
      <c r="L2" s="44"/>
      <c r="M2" s="44"/>
      <c r="N2" s="44"/>
    </row>
    <row r="3" spans="1:14" ht="42.75" customHeight="1" x14ac:dyDescent="0.35">
      <c r="A3" s="435" t="s">
        <v>248</v>
      </c>
      <c r="B3" s="435"/>
      <c r="C3" s="435"/>
      <c r="F3" s="437"/>
      <c r="G3" s="437"/>
      <c r="H3" s="437"/>
      <c r="L3" s="44"/>
      <c r="M3" s="44"/>
      <c r="N3" s="44"/>
    </row>
    <row r="4" spans="1:14" x14ac:dyDescent="0.35">
      <c r="A4" s="44"/>
      <c r="B4" s="44"/>
      <c r="C4" s="44"/>
      <c r="F4" s="44"/>
      <c r="G4" s="44"/>
      <c r="H4" s="44"/>
      <c r="L4" s="44"/>
      <c r="M4" s="44"/>
      <c r="N4" s="44"/>
    </row>
    <row r="5" spans="1:14" x14ac:dyDescent="0.35">
      <c r="A5" s="44"/>
      <c r="B5" s="44"/>
      <c r="C5" s="44"/>
      <c r="F5" s="44"/>
      <c r="G5" s="44"/>
      <c r="H5" s="44"/>
      <c r="L5" s="44"/>
      <c r="M5" s="44"/>
      <c r="N5" s="44"/>
    </row>
    <row r="6" spans="1:14" ht="30" customHeight="1" x14ac:dyDescent="0.35">
      <c r="A6" s="442" t="s">
        <v>71</v>
      </c>
      <c r="B6" s="443"/>
      <c r="C6" s="443"/>
      <c r="F6" s="447">
        <v>0</v>
      </c>
      <c r="G6" s="447"/>
      <c r="H6" s="447"/>
      <c r="L6" s="44"/>
      <c r="M6" s="44"/>
      <c r="N6" s="44"/>
    </row>
    <row r="7" spans="1:14" s="44" customFormat="1" x14ac:dyDescent="0.35"/>
    <row r="8" spans="1:14" ht="33" customHeight="1" x14ac:dyDescent="0.35">
      <c r="A8" s="444" t="s">
        <v>249</v>
      </c>
      <c r="B8" s="445"/>
      <c r="C8" s="445"/>
      <c r="F8" s="447">
        <v>0</v>
      </c>
      <c r="G8" s="447"/>
      <c r="H8" s="447"/>
      <c r="L8" s="70"/>
      <c r="M8" s="436" t="e">
        <f>VLOOKUP(L8,L16:N23,3,0)</f>
        <v>#N/A</v>
      </c>
      <c r="N8" s="436"/>
    </row>
    <row r="9" spans="1:14" s="44" customFormat="1" x14ac:dyDescent="0.35"/>
    <row r="10" spans="1:14" ht="15" customHeight="1" x14ac:dyDescent="0.35">
      <c r="A10" s="446" t="s">
        <v>250</v>
      </c>
      <c r="B10" s="433"/>
      <c r="C10" s="433"/>
      <c r="F10" s="448">
        <f>(F6-F8)/14</f>
        <v>0</v>
      </c>
      <c r="G10" s="448"/>
      <c r="H10" s="448"/>
      <c r="L10" s="44"/>
      <c r="M10" s="44"/>
      <c r="N10" s="44"/>
    </row>
    <row r="11" spans="1:14" ht="24.75" customHeight="1" x14ac:dyDescent="0.35">
      <c r="A11" s="446"/>
      <c r="B11" s="433"/>
      <c r="C11" s="433"/>
      <c r="F11" s="448"/>
      <c r="G11" s="448"/>
      <c r="H11" s="448"/>
      <c r="L11" s="44"/>
      <c r="M11" s="44"/>
      <c r="N11" s="44"/>
    </row>
    <row r="12" spans="1:14" x14ac:dyDescent="0.35">
      <c r="A12" s="44"/>
      <c r="B12" s="44"/>
      <c r="C12" s="44"/>
      <c r="F12" s="44"/>
      <c r="G12" s="44"/>
      <c r="H12" s="44"/>
      <c r="L12" s="440" t="s">
        <v>247</v>
      </c>
      <c r="M12" s="440"/>
      <c r="N12" s="440"/>
    </row>
    <row r="13" spans="1:14" x14ac:dyDescent="0.35">
      <c r="A13" s="44"/>
      <c r="B13" s="44"/>
      <c r="C13" s="44"/>
      <c r="F13" s="44"/>
      <c r="G13" s="44"/>
      <c r="H13" s="44"/>
      <c r="L13" s="441"/>
      <c r="M13" s="441"/>
      <c r="N13" s="441"/>
    </row>
    <row r="14" spans="1:14" x14ac:dyDescent="0.35">
      <c r="A14" s="44"/>
      <c r="B14" s="44"/>
      <c r="C14" s="44"/>
      <c r="F14" s="44"/>
      <c r="G14" s="44"/>
      <c r="H14" s="44"/>
      <c r="L14" s="438" t="s">
        <v>235</v>
      </c>
      <c r="M14" s="439" t="s">
        <v>236</v>
      </c>
      <c r="N14" s="439" t="s">
        <v>234</v>
      </c>
    </row>
    <row r="15" spans="1:14" x14ac:dyDescent="0.35">
      <c r="A15" s="44"/>
      <c r="B15" s="44"/>
      <c r="C15" s="44"/>
      <c r="F15" s="44"/>
      <c r="G15" s="44"/>
      <c r="H15" s="44"/>
      <c r="L15" s="438"/>
      <c r="M15" s="439"/>
      <c r="N15" s="439"/>
    </row>
    <row r="16" spans="1:14" ht="29" x14ac:dyDescent="0.35">
      <c r="A16" s="44"/>
      <c r="B16" s="44"/>
      <c r="C16" s="44"/>
      <c r="F16" s="44"/>
      <c r="G16" s="44"/>
      <c r="H16" s="44"/>
      <c r="L16" s="68">
        <v>405</v>
      </c>
      <c r="M16" s="68" t="s">
        <v>237</v>
      </c>
      <c r="N16" s="69" t="s">
        <v>239</v>
      </c>
    </row>
    <row r="17" spans="1:14" ht="29" x14ac:dyDescent="0.35">
      <c r="A17" s="44"/>
      <c r="B17" s="44"/>
      <c r="C17" s="44"/>
      <c r="F17" s="44"/>
      <c r="G17" s="44"/>
      <c r="H17" s="44"/>
      <c r="L17" s="68">
        <v>406</v>
      </c>
      <c r="M17" s="68" t="s">
        <v>237</v>
      </c>
      <c r="N17" s="69" t="s">
        <v>240</v>
      </c>
    </row>
    <row r="18" spans="1:14" ht="29" x14ac:dyDescent="0.35">
      <c r="A18" s="44"/>
      <c r="B18" s="44"/>
      <c r="C18" s="44"/>
      <c r="F18" s="44"/>
      <c r="G18" s="44"/>
      <c r="H18" s="44"/>
      <c r="L18" s="68">
        <v>407</v>
      </c>
      <c r="M18" s="68" t="s">
        <v>237</v>
      </c>
      <c r="N18" s="69" t="s">
        <v>241</v>
      </c>
    </row>
    <row r="19" spans="1:14" ht="29" x14ac:dyDescent="0.35">
      <c r="A19" s="44"/>
      <c r="B19" s="44"/>
      <c r="C19" s="44"/>
      <c r="F19" s="44"/>
      <c r="G19" s="44"/>
      <c r="H19" s="44"/>
      <c r="L19" s="68">
        <v>408</v>
      </c>
      <c r="M19" s="68" t="s">
        <v>238</v>
      </c>
      <c r="N19" s="69" t="s">
        <v>242</v>
      </c>
    </row>
    <row r="20" spans="1:14" ht="29" x14ac:dyDescent="0.35">
      <c r="A20" s="44"/>
      <c r="B20" s="44"/>
      <c r="C20" s="44"/>
      <c r="F20" s="44"/>
      <c r="G20" s="44"/>
      <c r="H20" s="44"/>
      <c r="L20" s="68">
        <v>409</v>
      </c>
      <c r="M20" s="68" t="s">
        <v>237</v>
      </c>
      <c r="N20" s="69" t="s">
        <v>243</v>
      </c>
    </row>
    <row r="21" spans="1:14" ht="31.5" customHeight="1" x14ac:dyDescent="0.35">
      <c r="A21" s="44"/>
      <c r="B21" s="44"/>
      <c r="C21" s="44"/>
      <c r="F21" s="44"/>
      <c r="G21" s="44"/>
      <c r="H21" s="44"/>
      <c r="L21" s="68">
        <v>410</v>
      </c>
      <c r="M21" s="68" t="s">
        <v>238</v>
      </c>
      <c r="N21" s="69" t="s">
        <v>244</v>
      </c>
    </row>
    <row r="22" spans="1:14" ht="43.5" x14ac:dyDescent="0.35">
      <c r="A22" s="44"/>
      <c r="B22" s="44"/>
      <c r="C22" s="44"/>
      <c r="F22" s="44"/>
      <c r="G22" s="44"/>
      <c r="H22" s="44"/>
      <c r="L22" s="68">
        <v>411</v>
      </c>
      <c r="M22" s="68" t="s">
        <v>237</v>
      </c>
      <c r="N22" s="69" t="s">
        <v>245</v>
      </c>
    </row>
    <row r="23" spans="1:14" ht="45.75" customHeight="1" x14ac:dyDescent="0.35">
      <c r="A23" s="44"/>
      <c r="B23" s="44"/>
      <c r="C23" s="44"/>
      <c r="F23" s="44"/>
      <c r="G23" s="44"/>
      <c r="H23" s="44"/>
      <c r="L23" s="68">
        <v>412</v>
      </c>
      <c r="M23" s="68" t="s">
        <v>237</v>
      </c>
      <c r="N23" s="69" t="s">
        <v>246</v>
      </c>
    </row>
    <row r="24" spans="1:14" s="44" customFormat="1" x14ac:dyDescent="0.35"/>
    <row r="25" spans="1:14" s="44" customFormat="1" x14ac:dyDescent="0.35"/>
    <row r="26" spans="1:14" s="44" customFormat="1" x14ac:dyDescent="0.35"/>
    <row r="27" spans="1:14" s="44" customFormat="1" x14ac:dyDescent="0.35"/>
    <row r="28" spans="1:14" s="44" customFormat="1" x14ac:dyDescent="0.35"/>
    <row r="29" spans="1:14" s="44" customFormat="1" x14ac:dyDescent="0.35"/>
    <row r="30" spans="1:14" s="44" customFormat="1" x14ac:dyDescent="0.35"/>
    <row r="31" spans="1:14" s="44" customFormat="1" x14ac:dyDescent="0.35"/>
    <row r="32" spans="1:14" s="44" customFormat="1" x14ac:dyDescent="0.35"/>
    <row r="33" s="44" customFormat="1" x14ac:dyDescent="0.35"/>
    <row r="34" s="44" customFormat="1" x14ac:dyDescent="0.35"/>
    <row r="35" s="44" customFormat="1" x14ac:dyDescent="0.35"/>
    <row r="36" s="44" customFormat="1" x14ac:dyDescent="0.35"/>
    <row r="37" s="44" customFormat="1" x14ac:dyDescent="0.35"/>
    <row r="38" s="44" customFormat="1" x14ac:dyDescent="0.35"/>
    <row r="39" s="44" customFormat="1" x14ac:dyDescent="0.35"/>
    <row r="40" s="44" customFormat="1" x14ac:dyDescent="0.35"/>
    <row r="41" s="44" customFormat="1" x14ac:dyDescent="0.35"/>
    <row r="42" s="44" customFormat="1" x14ac:dyDescent="0.35"/>
    <row r="43" s="44" customFormat="1" x14ac:dyDescent="0.35"/>
    <row r="44" s="44" customFormat="1" x14ac:dyDescent="0.35"/>
    <row r="45" s="44" customFormat="1" x14ac:dyDescent="0.35"/>
    <row r="46" s="44" customFormat="1" x14ac:dyDescent="0.35"/>
    <row r="47" s="44" customFormat="1" x14ac:dyDescent="0.35"/>
    <row r="48" s="44" customFormat="1" x14ac:dyDescent="0.35"/>
    <row r="49" s="44" customFormat="1" x14ac:dyDescent="0.35"/>
    <row r="50" s="44" customFormat="1" x14ac:dyDescent="0.35"/>
    <row r="51" s="44" customFormat="1" x14ac:dyDescent="0.35"/>
    <row r="52" s="44" customFormat="1" x14ac:dyDescent="0.35"/>
    <row r="53" s="44" customFormat="1" x14ac:dyDescent="0.35"/>
    <row r="54" s="44" customFormat="1" x14ac:dyDescent="0.35"/>
    <row r="55" s="44" customFormat="1" x14ac:dyDescent="0.35"/>
    <row r="56" s="44" customFormat="1" x14ac:dyDescent="0.35"/>
    <row r="57" s="44" customFormat="1" x14ac:dyDescent="0.35"/>
    <row r="58" s="44" customFormat="1" x14ac:dyDescent="0.35"/>
    <row r="59" s="44" customFormat="1" x14ac:dyDescent="0.35"/>
    <row r="60" s="44" customFormat="1" x14ac:dyDescent="0.35"/>
    <row r="61" s="44" customFormat="1" x14ac:dyDescent="0.35"/>
    <row r="62" s="44" customFormat="1" x14ac:dyDescent="0.35"/>
    <row r="63" s="44" customFormat="1" x14ac:dyDescent="0.35"/>
    <row r="64" s="44" customFormat="1" x14ac:dyDescent="0.35"/>
    <row r="65" s="44" customFormat="1" x14ac:dyDescent="0.35"/>
    <row r="66" s="44" customFormat="1" x14ac:dyDescent="0.35"/>
    <row r="67" s="44" customFormat="1" x14ac:dyDescent="0.35"/>
    <row r="68" s="44" customFormat="1" x14ac:dyDescent="0.35"/>
    <row r="69" s="44" customFormat="1" x14ac:dyDescent="0.35"/>
    <row r="70" s="44" customFormat="1" x14ac:dyDescent="0.35"/>
    <row r="71" s="44" customFormat="1" x14ac:dyDescent="0.35"/>
    <row r="72" s="44" customFormat="1" x14ac:dyDescent="0.35"/>
    <row r="73" s="44" customFormat="1" x14ac:dyDescent="0.35"/>
    <row r="74" s="44" customFormat="1" x14ac:dyDescent="0.35"/>
    <row r="75" s="44" customFormat="1" x14ac:dyDescent="0.35"/>
    <row r="76" s="44" customFormat="1" x14ac:dyDescent="0.35"/>
    <row r="77" s="44" customFormat="1" x14ac:dyDescent="0.35"/>
    <row r="78" s="44" customFormat="1" x14ac:dyDescent="0.35"/>
    <row r="79" s="44" customFormat="1" x14ac:dyDescent="0.35"/>
    <row r="80" s="44" customFormat="1" x14ac:dyDescent="0.35"/>
    <row r="81" s="44" customFormat="1" x14ac:dyDescent="0.35"/>
    <row r="82" s="44" customFormat="1" x14ac:dyDescent="0.35"/>
    <row r="83" s="44" customFormat="1" x14ac:dyDescent="0.35"/>
    <row r="84" s="44" customFormat="1" x14ac:dyDescent="0.35"/>
    <row r="85" s="44" customFormat="1" x14ac:dyDescent="0.35"/>
    <row r="86" s="44" customFormat="1" x14ac:dyDescent="0.35"/>
    <row r="87" s="44" customFormat="1" x14ac:dyDescent="0.35"/>
    <row r="88" s="44" customFormat="1" x14ac:dyDescent="0.35"/>
  </sheetData>
  <mergeCells count="13">
    <mergeCell ref="A3:C3"/>
    <mergeCell ref="M8:N8"/>
    <mergeCell ref="F3:H3"/>
    <mergeCell ref="L14:L15"/>
    <mergeCell ref="M14:M15"/>
    <mergeCell ref="N14:N15"/>
    <mergeCell ref="L12:N13"/>
    <mergeCell ref="A6:C6"/>
    <mergeCell ref="A8:C8"/>
    <mergeCell ref="A10:C11"/>
    <mergeCell ref="F6:H6"/>
    <mergeCell ref="F8:H8"/>
    <mergeCell ref="F10:H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sheetPr>
  <dimension ref="A1:AG134"/>
  <sheetViews>
    <sheetView workbookViewId="0">
      <selection activeCell="H20" sqref="H20"/>
    </sheetView>
  </sheetViews>
  <sheetFormatPr defaultRowHeight="14.5" x14ac:dyDescent="0.35"/>
  <cols>
    <col min="1" max="1" width="64.81640625" customWidth="1"/>
    <col min="4" max="4" width="31" customWidth="1"/>
    <col min="5" max="5" width="3.453125" customWidth="1"/>
  </cols>
  <sheetData>
    <row r="1" spans="1:33" x14ac:dyDescent="0.35">
      <c r="A1" s="7" t="s">
        <v>25</v>
      </c>
      <c r="B1" s="12"/>
      <c r="C1" s="28"/>
      <c r="D1" s="28"/>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row>
    <row r="2" spans="1:33" s="12" customFormat="1" ht="9" customHeight="1" x14ac:dyDescent="0.35">
      <c r="C2" s="28"/>
      <c r="D2" s="28"/>
    </row>
    <row r="3" spans="1:33" ht="58" x14ac:dyDescent="0.35">
      <c r="A3" s="17" t="s">
        <v>212</v>
      </c>
      <c r="B3" s="16"/>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s="12" customFormat="1" ht="8.5" customHeight="1" x14ac:dyDescent="0.35">
      <c r="A4" s="29"/>
    </row>
    <row r="5" spans="1:33" ht="26" x14ac:dyDescent="0.35">
      <c r="A5" s="41" t="s">
        <v>26</v>
      </c>
      <c r="B5" s="12"/>
      <c r="C5" s="12"/>
      <c r="D5" s="64">
        <v>0</v>
      </c>
      <c r="E5" s="12"/>
      <c r="F5" s="12"/>
      <c r="G5" s="12"/>
      <c r="H5" s="12"/>
      <c r="I5" s="12"/>
      <c r="J5" s="12"/>
      <c r="K5" s="12"/>
      <c r="L5" s="12"/>
      <c r="M5" s="12"/>
      <c r="N5" s="12"/>
      <c r="O5" s="12"/>
      <c r="P5" s="12"/>
      <c r="Q5" s="12"/>
      <c r="R5" s="12"/>
      <c r="S5" s="12"/>
      <c r="T5" s="12"/>
      <c r="U5" s="12"/>
      <c r="V5" s="12"/>
      <c r="W5" s="12"/>
      <c r="X5" s="12"/>
      <c r="Y5" s="12"/>
      <c r="Z5" s="12"/>
      <c r="AA5" s="12"/>
    </row>
    <row r="6" spans="1:33" s="12" customFormat="1" ht="9" customHeight="1" x14ac:dyDescent="0.35"/>
    <row r="7" spans="1:33" ht="26" x14ac:dyDescent="0.35">
      <c r="A7" s="41" t="s">
        <v>27</v>
      </c>
      <c r="B7" s="12"/>
      <c r="C7" s="12"/>
      <c r="D7" s="64">
        <v>0</v>
      </c>
      <c r="E7" s="12"/>
      <c r="F7" s="12"/>
      <c r="G7" s="12"/>
      <c r="H7" s="12"/>
      <c r="I7" s="12"/>
      <c r="J7" s="12"/>
      <c r="K7" s="12"/>
      <c r="L7" s="12"/>
      <c r="M7" s="12"/>
      <c r="N7" s="12"/>
      <c r="O7" s="12"/>
      <c r="P7" s="12"/>
      <c r="Q7" s="12"/>
      <c r="R7" s="12"/>
      <c r="S7" s="12"/>
      <c r="T7" s="12"/>
      <c r="U7" s="12"/>
      <c r="V7" s="12"/>
      <c r="W7" s="12"/>
      <c r="X7" s="12"/>
      <c r="Y7" s="12"/>
      <c r="Z7" s="12"/>
      <c r="AA7" s="12"/>
    </row>
    <row r="8" spans="1:33" s="12" customFormat="1" ht="11.5" customHeight="1" x14ac:dyDescent="0.35"/>
    <row r="9" spans="1:33" ht="26" x14ac:dyDescent="0.35">
      <c r="A9" s="41" t="s">
        <v>28</v>
      </c>
      <c r="B9" s="12"/>
      <c r="C9" s="12"/>
      <c r="D9" s="64">
        <v>0</v>
      </c>
      <c r="E9" s="12"/>
      <c r="F9" s="12"/>
      <c r="G9" s="12"/>
      <c r="H9" s="12"/>
      <c r="I9" s="12"/>
      <c r="J9" s="12"/>
      <c r="K9" s="12"/>
      <c r="L9" s="12"/>
      <c r="M9" s="12"/>
      <c r="N9" s="12"/>
      <c r="O9" s="12"/>
      <c r="P9" s="12"/>
      <c r="Q9" s="12"/>
      <c r="R9" s="12"/>
      <c r="S9" s="12"/>
      <c r="T9" s="12"/>
      <c r="U9" s="12"/>
      <c r="V9" s="12"/>
      <c r="W9" s="12"/>
      <c r="X9" s="12"/>
      <c r="Y9" s="12"/>
      <c r="Z9" s="12"/>
      <c r="AA9" s="12"/>
    </row>
    <row r="10" spans="1:33" s="12" customFormat="1" ht="8.15" customHeight="1" x14ac:dyDescent="0.35"/>
    <row r="11" spans="1:33" ht="26" x14ac:dyDescent="0.35">
      <c r="A11" s="41" t="s">
        <v>29</v>
      </c>
      <c r="B11" s="12"/>
      <c r="C11" s="12"/>
      <c r="D11" s="67">
        <v>12</v>
      </c>
      <c r="E11" s="12"/>
      <c r="F11" s="449"/>
      <c r="G11" s="449"/>
      <c r="H11" s="449"/>
      <c r="I11" s="449"/>
      <c r="J11" s="449"/>
      <c r="K11" s="449"/>
      <c r="L11" s="12"/>
      <c r="M11" s="12"/>
      <c r="N11" s="12"/>
      <c r="O11" s="12"/>
      <c r="P11" s="12"/>
      <c r="Q11" s="12"/>
      <c r="R11" s="12"/>
      <c r="S11" s="12"/>
      <c r="T11" s="12"/>
      <c r="U11" s="12"/>
      <c r="V11" s="12"/>
      <c r="W11" s="12"/>
      <c r="X11" s="12"/>
      <c r="Y11" s="12"/>
      <c r="Z11" s="12"/>
      <c r="AA11" s="12"/>
    </row>
    <row r="12" spans="1:33" s="12" customFormat="1" ht="26" x14ac:dyDescent="0.35">
      <c r="A12" s="13"/>
      <c r="D12" s="30"/>
      <c r="F12" s="31"/>
      <c r="G12" s="31"/>
      <c r="H12" s="31"/>
      <c r="I12" s="31"/>
      <c r="J12" s="31"/>
      <c r="K12" s="31"/>
    </row>
    <row r="13" spans="1:33" ht="26" x14ac:dyDescent="0.35">
      <c r="A13" s="450" t="s">
        <v>30</v>
      </c>
      <c r="B13" s="450"/>
      <c r="C13" s="450"/>
      <c r="D13" s="30"/>
      <c r="E13" s="12"/>
      <c r="F13" s="31"/>
      <c r="G13" s="31"/>
      <c r="H13" s="31"/>
      <c r="I13" s="31"/>
      <c r="J13" s="31"/>
      <c r="K13" s="31"/>
      <c r="L13" s="12"/>
      <c r="M13" s="12"/>
      <c r="N13" s="12"/>
      <c r="O13" s="12"/>
      <c r="P13" s="12"/>
      <c r="Q13" s="12"/>
      <c r="R13" s="12"/>
      <c r="S13" s="12"/>
      <c r="T13" s="12"/>
      <c r="U13" s="12"/>
      <c r="V13" s="12"/>
      <c r="W13" s="12"/>
      <c r="X13" s="12"/>
      <c r="Y13" s="12"/>
      <c r="Z13" s="12"/>
      <c r="AA13" s="12"/>
    </row>
    <row r="14" spans="1:33" s="12" customFormat="1" ht="15" thickBot="1" x14ac:dyDescent="0.4">
      <c r="F14" s="32"/>
      <c r="G14" s="32"/>
      <c r="H14" s="32"/>
      <c r="I14" s="32"/>
      <c r="J14" s="32"/>
    </row>
    <row r="15" spans="1:33" ht="45.5" thickBot="1" x14ac:dyDescent="0.4">
      <c r="A15" s="4" t="s">
        <v>11</v>
      </c>
      <c r="B15" s="12"/>
      <c r="C15" s="12"/>
      <c r="D15" s="35">
        <f>(D5-D7-D9)/D11</f>
        <v>0</v>
      </c>
      <c r="E15" s="12"/>
      <c r="F15" s="12"/>
      <c r="G15" s="12"/>
      <c r="H15" s="12"/>
      <c r="I15" s="12"/>
      <c r="J15" s="12"/>
      <c r="K15" s="12"/>
      <c r="L15" s="12"/>
      <c r="M15" s="12"/>
      <c r="N15" s="12"/>
      <c r="O15" s="12"/>
      <c r="P15" s="12"/>
      <c r="Q15" s="12"/>
      <c r="R15" s="12"/>
      <c r="S15" s="12"/>
      <c r="T15" s="12"/>
      <c r="U15" s="12"/>
      <c r="V15" s="12"/>
      <c r="W15" s="12"/>
      <c r="X15" s="12"/>
      <c r="Y15" s="12"/>
      <c r="Z15" s="12"/>
      <c r="AA15" s="12"/>
    </row>
    <row r="16" spans="1:33" x14ac:dyDescent="0.3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x14ac:dyDescent="0.3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1:27" x14ac:dyDescent="0.3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x14ac:dyDescent="0.3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7" x14ac:dyDescent="0.3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7" x14ac:dyDescent="0.3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7" x14ac:dyDescent="0.3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7" x14ac:dyDescent="0.3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7" x14ac:dyDescent="0.3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7" x14ac:dyDescent="0.3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7" x14ac:dyDescent="0.3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7" x14ac:dyDescent="0.3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7" x14ac:dyDescent="0.3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7" x14ac:dyDescent="0.3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7" x14ac:dyDescent="0.3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7" x14ac:dyDescent="0.3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7" x14ac:dyDescent="0.3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x14ac:dyDescent="0.3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x14ac:dyDescent="0.3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x14ac:dyDescent="0.3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x14ac:dyDescent="0.3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x14ac:dyDescent="0.3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x14ac:dyDescent="0.3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x14ac:dyDescent="0.3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x14ac:dyDescent="0.3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x14ac:dyDescent="0.3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x14ac:dyDescent="0.3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x14ac:dyDescent="0.3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x14ac:dyDescent="0.3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x14ac:dyDescent="0.3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x14ac:dyDescent="0.3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x14ac:dyDescent="0.3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x14ac:dyDescent="0.3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x14ac:dyDescent="0.3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x14ac:dyDescent="0.3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x14ac:dyDescent="0.3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x14ac:dyDescent="0.3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x14ac:dyDescent="0.3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x14ac:dyDescent="0.3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x14ac:dyDescent="0.3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x14ac:dyDescent="0.3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x14ac:dyDescent="0.3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x14ac:dyDescent="0.3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x14ac:dyDescent="0.3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x14ac:dyDescent="0.3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x14ac:dyDescent="0.3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x14ac:dyDescent="0.3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x14ac:dyDescent="0.3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x14ac:dyDescent="0.3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x14ac:dyDescent="0.3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x14ac:dyDescent="0.3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x14ac:dyDescent="0.3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x14ac:dyDescent="0.3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x14ac:dyDescent="0.3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x14ac:dyDescent="0.3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x14ac:dyDescent="0.3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x14ac:dyDescent="0.3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x14ac:dyDescent="0.3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x14ac:dyDescent="0.3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x14ac:dyDescent="0.3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x14ac:dyDescent="0.3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x14ac:dyDescent="0.3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x14ac:dyDescent="0.3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x14ac:dyDescent="0.3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x14ac:dyDescent="0.3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x14ac:dyDescent="0.3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x14ac:dyDescent="0.3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x14ac:dyDescent="0.3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x14ac:dyDescent="0.3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x14ac:dyDescent="0.3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x14ac:dyDescent="0.3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x14ac:dyDescent="0.3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x14ac:dyDescent="0.3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x14ac:dyDescent="0.3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x14ac:dyDescent="0.3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x14ac:dyDescent="0.3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x14ac:dyDescent="0.3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x14ac:dyDescent="0.3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x14ac:dyDescent="0.3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x14ac:dyDescent="0.3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x14ac:dyDescent="0.3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x14ac:dyDescent="0.3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x14ac:dyDescent="0.3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sheetData>
  <sheetProtection sheet="1" objects="1" scenarios="1"/>
  <mergeCells count="2">
    <mergeCell ref="F11:K11"/>
    <mergeCell ref="A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RECIBOS</vt:lpstr>
      <vt:lpstr>ANEXO A</vt:lpstr>
      <vt:lpstr>ANEXO B</vt:lpstr>
      <vt:lpstr>ANEXO C</vt:lpstr>
      <vt:lpstr>ANEXO D</vt:lpstr>
      <vt:lpstr>ANEXO F</vt:lpstr>
      <vt:lpstr>ANEXO H</vt:lpstr>
      <vt:lpstr>ANEXO J</vt:lpstr>
      <vt:lpstr>RECIBOS!Print_Area</vt:lpstr>
    </vt:vector>
  </TitlesOfParts>
  <Company>Banco BNP Paribas 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Manuel Romao</dc:creator>
  <cp:lastModifiedBy>A</cp:lastModifiedBy>
  <dcterms:created xsi:type="dcterms:W3CDTF">2019-05-07T10:17:35Z</dcterms:created>
  <dcterms:modified xsi:type="dcterms:W3CDTF">2023-03-13T13:50:24Z</dcterms:modified>
</cp:coreProperties>
</file>